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C:\Users\glotharp\Desktop\"/>
    </mc:Choice>
  </mc:AlternateContent>
  <xr:revisionPtr revIDLastSave="0" documentId="8_{99B8793F-5DCE-4709-A55A-7FAA5155E464}" xr6:coauthVersionLast="36" xr6:coauthVersionMax="36" xr10:uidLastSave="{00000000-0000-0000-0000-000000000000}"/>
  <bookViews>
    <workbookView xWindow="0" yWindow="0" windowWidth="43170" windowHeight="13440" xr2:uid="{00000000-000D-0000-FFFF-FFFF00000000}"/>
  </bookViews>
  <sheets>
    <sheet name="Academic Plan_TEMPLATE" sheetId="6" r:id="rId1"/>
    <sheet name="Sheet2" sheetId="8" state="hidden" r:id="rId2"/>
  </sheets>
  <definedNames>
    <definedName name="DesignElective">'Academic Plan_TEMPLATE'!$C$76</definedName>
    <definedName name="ENGLCOMPA">Sheet2!$D$1:$D$2</definedName>
    <definedName name="ENGLCOMPB">Sheet2!$E$1:$E$2</definedName>
    <definedName name="Grade">Sheet2!$D$1:$E$5</definedName>
    <definedName name="Grades">Sheet2!$C$1</definedName>
    <definedName name="LBST">Sheet2!$F$1:$F$3</definedName>
    <definedName name="MEGR_3221_or_MEGR_3216">Sheet2!$J$1:$J$2</definedName>
    <definedName name="NumGrade">Sheet2!$C$1:$C$5</definedName>
    <definedName name="_xlnm.Print_Area" localSheetId="0">'Academic Plan_TEMPLATE'!$A$1:$R$91</definedName>
    <definedName name="Semester">Sheet2!$A$1:$A$4</definedName>
    <definedName name="Year">Sheet2!$B$1:$B$16</definedName>
  </definedNames>
  <calcPr calcId="191029"/>
</workbook>
</file>

<file path=xl/calcChain.xml><?xml version="1.0" encoding="utf-8"?>
<calcChain xmlns="http://schemas.openxmlformats.org/spreadsheetml/2006/main">
  <c r="H5" i="6" l="1"/>
  <c r="N73" i="6" l="1"/>
  <c r="D38" i="6"/>
  <c r="D23" i="6"/>
  <c r="N21" i="6"/>
  <c r="H62" i="6"/>
  <c r="R62" i="6"/>
  <c r="R75" i="6"/>
  <c r="R73" i="6"/>
  <c r="R71" i="6"/>
  <c r="R69" i="6"/>
  <c r="H75" i="6"/>
  <c r="H73" i="6"/>
  <c r="H71" i="6"/>
  <c r="H69" i="6"/>
  <c r="H54" i="6"/>
  <c r="H52" i="6"/>
  <c r="H50" i="6"/>
  <c r="H48" i="6"/>
  <c r="H46" i="6"/>
  <c r="R54" i="6"/>
  <c r="R52" i="6"/>
  <c r="R50" i="6"/>
  <c r="R48" i="6"/>
  <c r="R46" i="6"/>
  <c r="R56" i="6"/>
  <c r="H56" i="6"/>
  <c r="R42" i="6"/>
  <c r="R40" i="6"/>
  <c r="R38" i="6"/>
  <c r="R36" i="6"/>
  <c r="R34" i="6"/>
  <c r="H42" i="6"/>
  <c r="H40" i="6"/>
  <c r="H38" i="6"/>
  <c r="H36" i="6"/>
  <c r="R31" i="6"/>
  <c r="R28" i="6"/>
  <c r="H31" i="6"/>
  <c r="H28" i="6"/>
  <c r="R21" i="6"/>
  <c r="R19" i="6"/>
  <c r="R17" i="6"/>
  <c r="R15" i="6"/>
  <c r="R13" i="6"/>
  <c r="R11" i="6"/>
  <c r="H23" i="6"/>
  <c r="H21" i="6"/>
  <c r="H19" i="6"/>
  <c r="H17" i="6"/>
  <c r="H15" i="6"/>
  <c r="H13" i="6"/>
  <c r="H11" i="6"/>
  <c r="W91" i="6"/>
  <c r="W94" i="6"/>
  <c r="W97" i="6"/>
  <c r="W100" i="6"/>
  <c r="W103" i="6"/>
  <c r="W106" i="6"/>
  <c r="W109" i="6"/>
  <c r="W112" i="6"/>
  <c r="X112" i="6"/>
  <c r="X11" i="6"/>
  <c r="X13" i="6"/>
  <c r="X15" i="6"/>
  <c r="X17" i="6"/>
  <c r="X19" i="6"/>
  <c r="X21" i="6"/>
  <c r="X28" i="6"/>
  <c r="X31" i="6"/>
  <c r="X34" i="6"/>
  <c r="X36" i="6"/>
  <c r="X38" i="6"/>
  <c r="X40" i="6"/>
  <c r="X42" i="6"/>
  <c r="X46" i="6"/>
  <c r="X48" i="6"/>
  <c r="X50" i="6"/>
  <c r="X52" i="6"/>
  <c r="X54" i="6"/>
  <c r="X56" i="6"/>
  <c r="X62" i="6"/>
  <c r="X69" i="6"/>
  <c r="X71" i="6"/>
  <c r="X73" i="6"/>
  <c r="X75" i="6"/>
  <c r="Y11" i="6"/>
  <c r="Y13" i="6"/>
  <c r="Y15" i="6"/>
  <c r="Y17" i="6"/>
  <c r="Q19" i="6"/>
  <c r="Y19" i="6"/>
  <c r="Y21" i="6"/>
  <c r="Y28" i="6"/>
  <c r="Y31" i="6"/>
  <c r="Y34" i="6"/>
  <c r="Y36" i="6"/>
  <c r="Y38" i="6"/>
  <c r="Y40" i="6"/>
  <c r="Y42" i="6"/>
  <c r="Y46" i="6"/>
  <c r="Y48" i="6"/>
  <c r="Y50" i="6"/>
  <c r="Y52" i="6"/>
  <c r="Y54" i="6"/>
  <c r="Y56" i="6"/>
  <c r="Y62" i="6"/>
  <c r="Y69" i="6"/>
  <c r="Y71" i="6"/>
  <c r="Y73" i="6"/>
  <c r="Y75" i="6"/>
  <c r="V11" i="6"/>
  <c r="V13" i="6"/>
  <c r="V15" i="6"/>
  <c r="V17" i="6"/>
  <c r="V19" i="6"/>
  <c r="V21" i="6"/>
  <c r="V23" i="6"/>
  <c r="V28" i="6"/>
  <c r="V31" i="6"/>
  <c r="V34" i="6"/>
  <c r="V36" i="6"/>
  <c r="V38" i="6"/>
  <c r="V40" i="6"/>
  <c r="V42" i="6"/>
  <c r="V46" i="6"/>
  <c r="V48" i="6"/>
  <c r="V50" i="6"/>
  <c r="V52" i="6"/>
  <c r="V54" i="6"/>
  <c r="V56" i="6"/>
  <c r="V62" i="6"/>
  <c r="V69" i="6"/>
  <c r="V71" i="6"/>
  <c r="V73" i="6"/>
  <c r="V75" i="6"/>
  <c r="W11" i="6"/>
  <c r="G13" i="6"/>
  <c r="W13" i="6" s="1"/>
  <c r="G15" i="6"/>
  <c r="W15" i="6" s="1"/>
  <c r="G17" i="6"/>
  <c r="W17" i="6" s="1"/>
  <c r="W19" i="6"/>
  <c r="W21" i="6"/>
  <c r="W23" i="6"/>
  <c r="W28" i="6"/>
  <c r="W31" i="6"/>
  <c r="W34" i="6"/>
  <c r="W36" i="6"/>
  <c r="W38" i="6"/>
  <c r="W40" i="6"/>
  <c r="W42" i="6"/>
  <c r="W46" i="6"/>
  <c r="W48" i="6"/>
  <c r="W50" i="6"/>
  <c r="W52" i="6"/>
  <c r="W54" i="6"/>
  <c r="W56" i="6"/>
  <c r="W62" i="6"/>
  <c r="W69" i="6"/>
  <c r="W71" i="6"/>
  <c r="W73" i="6"/>
  <c r="W75" i="6"/>
  <c r="AB112" i="6"/>
  <c r="W1" i="6"/>
  <c r="W2" i="6" s="1"/>
  <c r="W3" i="6" s="1"/>
  <c r="W89" i="6"/>
  <c r="W90" i="6"/>
  <c r="W93" i="6"/>
  <c r="W96" i="6"/>
  <c r="W99" i="6"/>
  <c r="W102" i="6"/>
  <c r="W105" i="6"/>
  <c r="W108" i="6"/>
  <c r="W111" i="6"/>
  <c r="X111" i="6"/>
  <c r="AB111" i="6"/>
  <c r="W92" i="6"/>
  <c r="W95" i="6"/>
  <c r="W98" i="6"/>
  <c r="W101" i="6"/>
  <c r="W104" i="6"/>
  <c r="W107" i="6"/>
  <c r="W110" i="6"/>
  <c r="X110" i="6"/>
  <c r="AB110" i="6"/>
  <c r="X109" i="6"/>
  <c r="AB109" i="6"/>
  <c r="X108" i="6"/>
  <c r="AB108" i="6"/>
  <c r="X107" i="6"/>
  <c r="AB107" i="6"/>
  <c r="X106" i="6"/>
  <c r="AB106" i="6"/>
  <c r="X105" i="6"/>
  <c r="AB105" i="6"/>
  <c r="X104" i="6"/>
  <c r="AB104" i="6"/>
  <c r="X103" i="6"/>
  <c r="AB103" i="6"/>
  <c r="X102" i="6"/>
  <c r="AB102" i="6"/>
  <c r="X101" i="6"/>
  <c r="AB101" i="6"/>
  <c r="X100" i="6"/>
  <c r="AB100" i="6"/>
  <c r="X99" i="6"/>
  <c r="AB99" i="6"/>
  <c r="X98" i="6"/>
  <c r="AB98" i="6"/>
  <c r="X97" i="6"/>
  <c r="AB97" i="6"/>
  <c r="X96" i="6"/>
  <c r="AB96" i="6"/>
  <c r="X95" i="6"/>
  <c r="AB95" i="6"/>
  <c r="X94" i="6"/>
  <c r="AB94" i="6"/>
  <c r="X93" i="6"/>
  <c r="AB93" i="6"/>
  <c r="X92" i="6"/>
  <c r="AB92" i="6"/>
  <c r="X91" i="6"/>
  <c r="AB91" i="6"/>
  <c r="X90" i="6"/>
  <c r="AB90" i="6"/>
  <c r="X89" i="6"/>
  <c r="AB89" i="6"/>
  <c r="X88" i="6"/>
  <c r="AB88" i="6"/>
  <c r="X87" i="6"/>
  <c r="AB87" i="6"/>
  <c r="X86" i="6"/>
  <c r="AB86" i="6"/>
  <c r="X85" i="6"/>
  <c r="AB85" i="6"/>
  <c r="X84" i="6"/>
  <c r="AB84" i="6"/>
  <c r="X83" i="6"/>
  <c r="AB83" i="6"/>
  <c r="X82" i="6"/>
  <c r="AB82" i="6"/>
  <c r="X81" i="6"/>
  <c r="AB81" i="6"/>
  <c r="H34" i="6"/>
  <c r="AB128" i="6"/>
  <c r="AB129" i="6"/>
  <c r="AB130" i="6"/>
  <c r="AB131" i="6"/>
  <c r="AB132" i="6"/>
  <c r="AB133" i="6"/>
  <c r="AB127" i="6"/>
  <c r="AB126" i="6"/>
  <c r="AB125" i="6"/>
  <c r="AB124" i="6"/>
  <c r="AB123" i="6"/>
  <c r="AB122" i="6"/>
  <c r="AB121" i="6"/>
  <c r="AB120" i="6"/>
  <c r="AB119" i="6"/>
  <c r="AB118" i="6"/>
  <c r="K21" i="6"/>
  <c r="K73" i="6"/>
  <c r="L74" i="6"/>
  <c r="K74" i="6"/>
  <c r="L73" i="6"/>
  <c r="M79" i="6"/>
  <c r="W4" i="6"/>
  <c r="Y137" i="6"/>
  <c r="AB113" i="6"/>
  <c r="AB114" i="6"/>
  <c r="AB115" i="6"/>
  <c r="AB116" i="6"/>
  <c r="AB117" i="6"/>
  <c r="W113" i="6"/>
  <c r="W115" i="6"/>
  <c r="X115" i="6"/>
  <c r="W118" i="6"/>
  <c r="X113" i="6"/>
  <c r="W116" i="6"/>
  <c r="W114" i="6"/>
  <c r="X118" i="6"/>
  <c r="W121" i="6"/>
  <c r="X116" i="6"/>
  <c r="W119" i="6"/>
  <c r="W117" i="6"/>
  <c r="X114" i="6"/>
  <c r="X119" i="6"/>
  <c r="W122" i="6"/>
  <c r="W124" i="6"/>
  <c r="X121" i="6"/>
  <c r="X117" i="6"/>
  <c r="W120" i="6"/>
  <c r="X124" i="6"/>
  <c r="W127" i="6"/>
  <c r="X122" i="6"/>
  <c r="W125" i="6"/>
  <c r="X120" i="6"/>
  <c r="W123" i="6"/>
  <c r="X125" i="6"/>
  <c r="W128" i="6"/>
  <c r="X127" i="6"/>
  <c r="W130" i="6"/>
  <c r="X123" i="6"/>
  <c r="W126" i="6"/>
  <c r="X126" i="6"/>
  <c r="W129" i="6"/>
  <c r="W133" i="6"/>
  <c r="X133" i="6"/>
  <c r="X130" i="6"/>
  <c r="X128" i="6"/>
  <c r="W131" i="6"/>
  <c r="X131" i="6"/>
  <c r="W132" i="6"/>
  <c r="X132" i="6"/>
  <c r="X129" i="6"/>
  <c r="AB62" i="6" l="1"/>
  <c r="AA75" i="6"/>
  <c r="AB46" i="6"/>
  <c r="AA46" i="6"/>
  <c r="AB13" i="6"/>
  <c r="AA54" i="6"/>
  <c r="AB50" i="6"/>
  <c r="AB40" i="6"/>
  <c r="AB34" i="6"/>
  <c r="AA34" i="6"/>
  <c r="AB36" i="6"/>
  <c r="AA28" i="6"/>
  <c r="AB17" i="6"/>
  <c r="AA11" i="6"/>
  <c r="AA69" i="6"/>
  <c r="AA48" i="6"/>
  <c r="AB54" i="6"/>
  <c r="AA36" i="6"/>
  <c r="Y85" i="6"/>
  <c r="AC85" i="6" s="1"/>
  <c r="AA31" i="6"/>
  <c r="Y89" i="6"/>
  <c r="AC89" i="6" s="1"/>
  <c r="Y91" i="6"/>
  <c r="AC91" i="6" s="1"/>
  <c r="AB48" i="6"/>
  <c r="AB56" i="6"/>
  <c r="Y116" i="6"/>
  <c r="AC116" i="6" s="1"/>
  <c r="AA52" i="6"/>
  <c r="AB52" i="6"/>
  <c r="AB38" i="6"/>
  <c r="Y131" i="6"/>
  <c r="AC131" i="6" s="1"/>
  <c r="Y114" i="6"/>
  <c r="AC114" i="6" s="1"/>
  <c r="Y132" i="6"/>
  <c r="AC132" i="6" s="1"/>
  <c r="AB31" i="6"/>
  <c r="Y83" i="6"/>
  <c r="AC83" i="6" s="1"/>
  <c r="Y109" i="6"/>
  <c r="AC109" i="6" s="1"/>
  <c r="Y87" i="6"/>
  <c r="AC87" i="6" s="1"/>
  <c r="Y81" i="6"/>
  <c r="AC81" i="6" s="1"/>
  <c r="Y133" i="6"/>
  <c r="AC133" i="6" s="1"/>
  <c r="AB28" i="6"/>
  <c r="AB15" i="6"/>
  <c r="Y126" i="6"/>
  <c r="AC126" i="6" s="1"/>
  <c r="Y128" i="6"/>
  <c r="AC128" i="6" s="1"/>
  <c r="Y120" i="6"/>
  <c r="AC120" i="6" s="1"/>
  <c r="Y124" i="6"/>
  <c r="AC124" i="6" s="1"/>
  <c r="Y121" i="6"/>
  <c r="AC121" i="6" s="1"/>
  <c r="Y129" i="6"/>
  <c r="AC129" i="6" s="1"/>
  <c r="AB11" i="6"/>
  <c r="Y125" i="6"/>
  <c r="AC125" i="6" s="1"/>
  <c r="Y84" i="6"/>
  <c r="AC84" i="6" s="1"/>
  <c r="Y92" i="6"/>
  <c r="AC92" i="6" s="1"/>
  <c r="Y96" i="6"/>
  <c r="AC96" i="6" s="1"/>
  <c r="Y102" i="6"/>
  <c r="AC102" i="6" s="1"/>
  <c r="Y106" i="6"/>
  <c r="AC106" i="6" s="1"/>
  <c r="Y108" i="6"/>
  <c r="AC108" i="6" s="1"/>
  <c r="Y110" i="6"/>
  <c r="AC110" i="6" s="1"/>
  <c r="AA50" i="6"/>
  <c r="AA62" i="6" s="1"/>
  <c r="Y88" i="6"/>
  <c r="AC88" i="6" s="1"/>
  <c r="Y94" i="6"/>
  <c r="AC94" i="6" s="1"/>
  <c r="Y100" i="6"/>
  <c r="AC100" i="6" s="1"/>
  <c r="Y123" i="6"/>
  <c r="AC123" i="6" s="1"/>
  <c r="Y130" i="6"/>
  <c r="AC130" i="6" s="1"/>
  <c r="Y112" i="6"/>
  <c r="AC112" i="6" s="1"/>
  <c r="Y113" i="6"/>
  <c r="AC113" i="6" s="1"/>
  <c r="Y82" i="6"/>
  <c r="AC82" i="6" s="1"/>
  <c r="Y90" i="6"/>
  <c r="AC90" i="6" s="1"/>
  <c r="Y98" i="6"/>
  <c r="AC98" i="6" s="1"/>
  <c r="Y104" i="6"/>
  <c r="AC104" i="6" s="1"/>
  <c r="Y115" i="6"/>
  <c r="AC115" i="6" s="1"/>
  <c r="Y117" i="6"/>
  <c r="AC117" i="6" s="1"/>
  <c r="Y86" i="6"/>
  <c r="AC86" i="6" s="1"/>
  <c r="Y122" i="6"/>
  <c r="AC122" i="6" s="1"/>
  <c r="Y119" i="6"/>
  <c r="AC119" i="6" s="1"/>
  <c r="Y118" i="6"/>
  <c r="AC118" i="6" s="1"/>
  <c r="Y127" i="6"/>
  <c r="AC127" i="6" s="1"/>
  <c r="Y111" i="6"/>
  <c r="AC111" i="6" s="1"/>
  <c r="Y93" i="6"/>
  <c r="AC93" i="6" s="1"/>
  <c r="Y95" i="6"/>
  <c r="AC95" i="6" s="1"/>
  <c r="Y97" i="6"/>
  <c r="AC97" i="6" s="1"/>
  <c r="Y99" i="6"/>
  <c r="AC99" i="6" s="1"/>
  <c r="Y101" i="6"/>
  <c r="AC101" i="6" s="1"/>
  <c r="Y103" i="6"/>
  <c r="AC103" i="6" s="1"/>
  <c r="Y105" i="6"/>
  <c r="AC105" i="6" s="1"/>
  <c r="Y107" i="6"/>
  <c r="AC107" i="6" s="1"/>
  <c r="AA112" i="6"/>
  <c r="AA104" i="6"/>
  <c r="AA96" i="6"/>
  <c r="AA88" i="6"/>
  <c r="AA122" i="6"/>
  <c r="AA130" i="6"/>
  <c r="AA133" i="6"/>
  <c r="AA103" i="6"/>
  <c r="AA95" i="6"/>
  <c r="AA87" i="6"/>
  <c r="AA128" i="6"/>
  <c r="AA123" i="6"/>
  <c r="AA107" i="6"/>
  <c r="AA99" i="6"/>
  <c r="AA91" i="6"/>
  <c r="AA83" i="6"/>
  <c r="AA127" i="6"/>
  <c r="AA117" i="6"/>
  <c r="AA124" i="6"/>
  <c r="AA115" i="6"/>
  <c r="AA118" i="6"/>
  <c r="AA110" i="6"/>
  <c r="AA102" i="6"/>
  <c r="AA94" i="6"/>
  <c r="AA86" i="6"/>
  <c r="AA113" i="6"/>
  <c r="AA126" i="6"/>
  <c r="AA125" i="6"/>
  <c r="AA105" i="6"/>
  <c r="AA97" i="6"/>
  <c r="AA89" i="6"/>
  <c r="AA81" i="6"/>
  <c r="AA132" i="6"/>
  <c r="AA119" i="6"/>
  <c r="AA114" i="6"/>
  <c r="AA108" i="6"/>
  <c r="AA100" i="6"/>
  <c r="AA92" i="6"/>
  <c r="AA84" i="6"/>
  <c r="AA116" i="6"/>
  <c r="AA121" i="6"/>
  <c r="AA131" i="6"/>
  <c r="AA111" i="6"/>
  <c r="AA106" i="6"/>
  <c r="AA98" i="6"/>
  <c r="AA90" i="6"/>
  <c r="AA82" i="6"/>
  <c r="AA129" i="6"/>
  <c r="AA120" i="6"/>
  <c r="AA109" i="6"/>
  <c r="AA101" i="6"/>
  <c r="AA93" i="6"/>
  <c r="AA85" i="6"/>
  <c r="W6" i="6" l="1"/>
  <c r="J5" i="6" s="1"/>
  <c r="AC139" i="6"/>
  <c r="J6" i="6" s="1"/>
  <c r="Y139" i="6"/>
  <c r="J4" i="6" s="1"/>
  <c r="J3" i="6"/>
  <c r="W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Mark Lawton</author>
    <author>klawt</author>
    <author>Kevin Lawton</author>
    <author>Tracy Lauren Beauregard</author>
  </authors>
  <commentList>
    <comment ref="K7" authorId="0" shapeId="0" xr:uid="{00000000-0006-0000-0000-000001000000}">
      <text>
        <r>
          <rPr>
            <b/>
            <sz val="10"/>
            <color indexed="81"/>
            <rFont val="Tahoma"/>
            <family val="2"/>
          </rPr>
          <t xml:space="preserve">Enter your first and last name. </t>
        </r>
      </text>
    </comment>
    <comment ref="P7" authorId="0" shapeId="0" xr:uid="{00000000-0006-0000-0000-000002000000}">
      <text>
        <r>
          <rPr>
            <b/>
            <sz val="10"/>
            <color indexed="81"/>
            <rFont val="Tahoma"/>
            <family val="2"/>
          </rPr>
          <t xml:space="preserve">Enter your student ID number (without hyphens). </t>
        </r>
      </text>
    </comment>
    <comment ref="E10" authorId="1" shapeId="0" xr:uid="{35313673-88FE-4480-A715-571818E8B639}">
      <text>
        <r>
          <rPr>
            <b/>
            <sz val="9"/>
            <color indexed="81"/>
            <rFont val="Tahoma"/>
            <family val="2"/>
          </rPr>
          <t>SP=spring; FA=fall; SUM=summer; TR=transfer</t>
        </r>
        <r>
          <rPr>
            <sz val="9"/>
            <color indexed="81"/>
            <rFont val="Tahoma"/>
            <family val="2"/>
          </rPr>
          <t xml:space="preserve">
</t>
        </r>
      </text>
    </comment>
    <comment ref="F10" authorId="1" shapeId="0" xr:uid="{2FE3DA6E-F32D-4D0D-8DCD-A8112475F335}">
      <text>
        <r>
          <rPr>
            <b/>
            <sz val="10"/>
            <color indexed="81"/>
            <rFont val="Tahoma"/>
            <family val="2"/>
          </rPr>
          <t>Four-digit format</t>
        </r>
        <r>
          <rPr>
            <sz val="9"/>
            <color indexed="81"/>
            <rFont val="Tahoma"/>
            <family val="2"/>
          </rPr>
          <t xml:space="preserve">
</t>
        </r>
      </text>
    </comment>
    <comment ref="O10" authorId="1" shapeId="0" xr:uid="{B933620F-4FE0-418F-A2B4-62CCDAAA4541}">
      <text>
        <r>
          <rPr>
            <b/>
            <sz val="9"/>
            <color indexed="81"/>
            <rFont val="Tahoma"/>
            <family val="2"/>
          </rPr>
          <t>SP=spring; FA=fall; SUM=summer; TR=transfer</t>
        </r>
        <r>
          <rPr>
            <sz val="9"/>
            <color indexed="81"/>
            <rFont val="Tahoma"/>
            <family val="2"/>
          </rPr>
          <t xml:space="preserve">
</t>
        </r>
      </text>
    </comment>
    <comment ref="P10" authorId="1" shapeId="0" xr:uid="{B138BC3A-F9C5-41A1-BC44-0647DCC54BC8}">
      <text>
        <r>
          <rPr>
            <b/>
            <sz val="10"/>
            <color indexed="81"/>
            <rFont val="Tahoma"/>
            <family val="2"/>
          </rPr>
          <t>Four-digit format</t>
        </r>
        <r>
          <rPr>
            <sz val="9"/>
            <color indexed="81"/>
            <rFont val="Tahoma"/>
            <family val="2"/>
          </rPr>
          <t xml:space="preserve">
</t>
        </r>
      </text>
    </comment>
    <comment ref="A11" authorId="2" shapeId="0" xr:uid="{00000000-0006-0000-0000-000003000000}">
      <text>
        <r>
          <rPr>
            <b/>
            <sz val="11"/>
            <color indexed="81"/>
            <rFont val="Tahoma"/>
            <family val="2"/>
          </rPr>
          <t>Prerequisite or co-requisite</t>
        </r>
        <r>
          <rPr>
            <sz val="9"/>
            <color indexed="81"/>
            <rFont val="Tahoma"/>
            <family val="2"/>
          </rPr>
          <t xml:space="preserve">
</t>
        </r>
      </text>
    </comment>
    <comment ref="K11" authorId="3" shapeId="0" xr:uid="{00000000-0006-0000-0000-000004000000}">
      <text>
        <r>
          <rPr>
            <b/>
            <sz val="9"/>
            <color indexed="81"/>
            <rFont val="Tahoma"/>
            <family val="2"/>
          </rPr>
          <t>Minimum Grade Required: C</t>
        </r>
      </text>
    </comment>
    <comment ref="L11" authorId="3" shapeId="0" xr:uid="{00000000-0006-0000-0000-000005000000}">
      <text>
        <r>
          <rPr>
            <b/>
            <sz val="9"/>
            <color indexed="81"/>
            <rFont val="Tahoma"/>
            <family val="2"/>
          </rPr>
          <t>Minimum Grade Required: C</t>
        </r>
      </text>
    </comment>
    <comment ref="C13" authorId="2" shapeId="0" xr:uid="{00000000-0006-0000-0000-000006000000}">
      <text>
        <r>
          <rPr>
            <b/>
            <sz val="11"/>
            <color indexed="81"/>
            <rFont val="Tahoma"/>
            <family val="2"/>
          </rPr>
          <t>The requirement is completion of MEGR 1100 or CHEM 1251&amp;1251L.
Enter the term for whichever course was completed, and the hours will update automatically.</t>
        </r>
      </text>
    </comment>
    <comment ref="D13" authorId="2" shapeId="0" xr:uid="{00000000-0006-0000-0000-000007000000}">
      <text>
        <r>
          <rPr>
            <b/>
            <sz val="11"/>
            <color indexed="81"/>
            <rFont val="Tahoma"/>
            <family val="2"/>
          </rPr>
          <t>The requirement is completion of MEGR 1100 or CHEM 1251&amp;1251L.
Enter the term for whichever course was completed, and the hours will update automatically.</t>
        </r>
        <r>
          <rPr>
            <sz val="9"/>
            <color indexed="81"/>
            <rFont val="Tahoma"/>
            <family val="2"/>
          </rPr>
          <t xml:space="preserve">
</t>
        </r>
      </text>
    </comment>
    <comment ref="K13" authorId="3" shapeId="0" xr:uid="{00000000-0006-0000-0000-000008000000}">
      <text>
        <r>
          <rPr>
            <b/>
            <sz val="9"/>
            <color indexed="81"/>
            <rFont val="Tahoma"/>
            <family val="2"/>
          </rPr>
          <t>Minimum Grade Required: C</t>
        </r>
        <r>
          <rPr>
            <sz val="9"/>
            <color indexed="81"/>
            <rFont val="Tahoma"/>
            <family val="2"/>
          </rPr>
          <t xml:space="preserve">
</t>
        </r>
      </text>
    </comment>
    <comment ref="B17" authorId="2" shapeId="0" xr:uid="{00000000-0006-0000-0000-000009000000}">
      <text>
        <r>
          <rPr>
            <b/>
            <sz val="11"/>
            <color indexed="81"/>
            <rFont val="Tahoma"/>
            <family val="2"/>
          </rPr>
          <t>Prerequisite or co-requisite</t>
        </r>
        <r>
          <rPr>
            <sz val="11"/>
            <color indexed="81"/>
            <rFont val="Tahoma"/>
            <family val="2"/>
          </rPr>
          <t xml:space="preserve">
</t>
        </r>
      </text>
    </comment>
    <comment ref="C17" authorId="2" shapeId="0" xr:uid="{00000000-0006-0000-0000-00000A000000}">
      <text>
        <r>
          <rPr>
            <b/>
            <sz val="11"/>
            <color indexed="81"/>
            <rFont val="Tahoma"/>
            <family val="2"/>
          </rPr>
          <t>The requirement is completion of MEGR 1100 or CHEM 1251&amp;1251L.
Enter the term for whichever course was completed, and the hours will update automatically.</t>
        </r>
      </text>
    </comment>
    <comment ref="D17" authorId="2" shapeId="0" xr:uid="{00000000-0006-0000-0000-00000B000000}">
      <text>
        <r>
          <rPr>
            <b/>
            <sz val="11"/>
            <color indexed="81"/>
            <rFont val="Tahoma"/>
            <family val="2"/>
          </rPr>
          <t>The requirement is completion of MEGR 1100 or CHEM 1251&amp;1251L.
Enter the term for whichever course was completed, and the hours will update automatically.</t>
        </r>
      </text>
    </comment>
    <comment ref="K17" authorId="3" shapeId="0" xr:uid="{00000000-0006-0000-0000-00000C000000}">
      <text>
        <r>
          <rPr>
            <b/>
            <sz val="9"/>
            <color indexed="81"/>
            <rFont val="Tahoma"/>
            <family val="2"/>
          </rPr>
          <t>Minimum Grade Required: C</t>
        </r>
        <r>
          <rPr>
            <sz val="9"/>
            <color indexed="81"/>
            <rFont val="Tahoma"/>
            <family val="2"/>
          </rPr>
          <t xml:space="preserve">
</t>
        </r>
      </text>
    </comment>
    <comment ref="M19" authorId="1" shapeId="0" xr:uid="{53CC552F-48D7-4EE0-9E10-1232A0062C7B}">
      <text>
        <r>
          <rPr>
            <sz val="9"/>
            <color indexed="81"/>
            <rFont val="Tahoma"/>
            <family val="2"/>
          </rPr>
          <t>WRDS = Writing, Rhetoric, and Digital Studies [Writing/English]</t>
        </r>
      </text>
    </comment>
    <comment ref="N20" authorId="2" shapeId="0" xr:uid="{00000000-0006-0000-0000-00000E000000}">
      <text>
        <r>
          <rPr>
            <b/>
            <sz val="9"/>
            <color indexed="81"/>
            <rFont val="Tahoma"/>
            <family val="2"/>
          </rPr>
          <t xml:space="preserve">Select a first-year writing course from the drop-down menu. </t>
        </r>
      </text>
    </comment>
    <comment ref="C21" authorId="3" shapeId="0" xr:uid="{00000000-0006-0000-0000-00000F000000}">
      <text>
        <r>
          <rPr>
            <b/>
            <sz val="9"/>
            <color indexed="81"/>
            <rFont val="Tahoma"/>
            <family val="2"/>
          </rPr>
          <t>PHYS 1130, GEOL 1200, BIOL 1110, CHEM 1252, 3000-level or above PHYS or CHEM</t>
        </r>
        <r>
          <rPr>
            <sz val="9"/>
            <color indexed="81"/>
            <rFont val="Tahoma"/>
            <family val="2"/>
          </rPr>
          <t xml:space="preserve">
</t>
        </r>
      </text>
    </comment>
    <comment ref="N22" authorId="2" shapeId="0" xr:uid="{00000000-0006-0000-0000-000010000000}">
      <text>
        <r>
          <rPr>
            <sz val="9"/>
            <color indexed="81"/>
            <rFont val="Tahoma"/>
            <family val="2"/>
          </rPr>
          <t>Make a selection.</t>
        </r>
      </text>
    </comment>
    <comment ref="D24" authorId="2" shapeId="0" xr:uid="{FF2A18A0-DB0A-4312-8FCD-19D2612FF4DE}">
      <text>
        <r>
          <rPr>
            <sz val="9"/>
            <color indexed="81"/>
            <rFont val="Tahoma"/>
            <family val="2"/>
          </rPr>
          <t>Make a selection.</t>
        </r>
      </text>
    </comment>
    <comment ref="E27" authorId="1" shapeId="0" xr:uid="{73BEC713-EA4D-4F5F-9A23-FEAB5BF6AB55}">
      <text>
        <r>
          <rPr>
            <b/>
            <sz val="9"/>
            <color indexed="81"/>
            <rFont val="Tahoma"/>
            <family val="2"/>
          </rPr>
          <t>SP=spring; FA=fall; SUM=summer; TR=transfer</t>
        </r>
        <r>
          <rPr>
            <sz val="9"/>
            <color indexed="81"/>
            <rFont val="Tahoma"/>
            <family val="2"/>
          </rPr>
          <t xml:space="preserve">
</t>
        </r>
      </text>
    </comment>
    <comment ref="F27" authorId="1" shapeId="0" xr:uid="{A65BDB69-83A8-4FCA-BC45-CB692CC981C8}">
      <text>
        <r>
          <rPr>
            <b/>
            <sz val="10"/>
            <color indexed="81"/>
            <rFont val="Tahoma"/>
            <family val="2"/>
          </rPr>
          <t>Four-digit format</t>
        </r>
        <r>
          <rPr>
            <sz val="9"/>
            <color indexed="81"/>
            <rFont val="Tahoma"/>
            <family val="2"/>
          </rPr>
          <t xml:space="preserve">
</t>
        </r>
      </text>
    </comment>
    <comment ref="O27" authorId="1" shapeId="0" xr:uid="{9A0F357D-02C0-40E2-8443-930C33D0FF98}">
      <text>
        <r>
          <rPr>
            <b/>
            <sz val="9"/>
            <color indexed="81"/>
            <rFont val="Tahoma"/>
            <family val="2"/>
          </rPr>
          <t>SP=spring; FA=fall; SUM=summer; TR=transfer</t>
        </r>
        <r>
          <rPr>
            <sz val="9"/>
            <color indexed="81"/>
            <rFont val="Tahoma"/>
            <family val="2"/>
          </rPr>
          <t xml:space="preserve">
</t>
        </r>
      </text>
    </comment>
    <comment ref="P27" authorId="1" shapeId="0" xr:uid="{5B3A521B-6903-44F3-BEBC-ADC9A9DD09E4}">
      <text>
        <r>
          <rPr>
            <b/>
            <sz val="10"/>
            <color indexed="81"/>
            <rFont val="Tahoma"/>
            <family val="2"/>
          </rPr>
          <t>Four-digit format</t>
        </r>
        <r>
          <rPr>
            <sz val="9"/>
            <color indexed="81"/>
            <rFont val="Tahoma"/>
            <family val="2"/>
          </rPr>
          <t xml:space="preserve">
</t>
        </r>
      </text>
    </comment>
    <comment ref="A28" authorId="3" shapeId="0" xr:uid="{F6ECD92A-E350-486E-B6C5-2FC208EF1E60}">
      <text>
        <r>
          <rPr>
            <b/>
            <sz val="9"/>
            <color indexed="81"/>
            <rFont val="Tahoma"/>
            <family val="2"/>
          </rPr>
          <t>Minimum Grade Required: C</t>
        </r>
        <r>
          <rPr>
            <sz val="9"/>
            <color indexed="81"/>
            <rFont val="Tahoma"/>
            <family val="2"/>
          </rPr>
          <t xml:space="preserve">
</t>
        </r>
      </text>
    </comment>
    <comment ref="B28" authorId="3" shapeId="0" xr:uid="{00000000-0006-0000-0000-000012000000}">
      <text>
        <r>
          <rPr>
            <b/>
            <sz val="9"/>
            <color indexed="81"/>
            <rFont val="Tahoma"/>
            <family val="2"/>
          </rPr>
          <t>Minimum Grade Required: C</t>
        </r>
        <r>
          <rPr>
            <sz val="9"/>
            <color indexed="81"/>
            <rFont val="Tahoma"/>
            <family val="2"/>
          </rPr>
          <t xml:space="preserve">
</t>
        </r>
      </text>
    </comment>
    <comment ref="K29" authorId="3" shapeId="0" xr:uid="{00000000-0006-0000-0000-000013000000}">
      <text>
        <r>
          <rPr>
            <b/>
            <sz val="9"/>
            <color indexed="81"/>
            <rFont val="Tahoma"/>
            <family val="2"/>
          </rPr>
          <t>Minimum Grade Required: C</t>
        </r>
        <r>
          <rPr>
            <sz val="9"/>
            <color indexed="81"/>
            <rFont val="Tahoma"/>
            <family val="2"/>
          </rPr>
          <t xml:space="preserve">
</t>
        </r>
      </text>
    </comment>
    <comment ref="K30" authorId="3" shapeId="0" xr:uid="{00000000-0006-0000-0000-000014000000}">
      <text>
        <r>
          <rPr>
            <b/>
            <sz val="9"/>
            <color indexed="81"/>
            <rFont val="Tahoma"/>
            <family val="2"/>
          </rPr>
          <t>Minimum Grade Required: C</t>
        </r>
        <r>
          <rPr>
            <sz val="9"/>
            <color indexed="81"/>
            <rFont val="Tahoma"/>
            <family val="2"/>
          </rPr>
          <t xml:space="preserve">
</t>
        </r>
      </text>
    </comment>
    <comment ref="L30" authorId="3" shapeId="0" xr:uid="{00000000-0006-0000-0000-000015000000}">
      <text>
        <r>
          <rPr>
            <b/>
            <sz val="9"/>
            <color indexed="81"/>
            <rFont val="Tahoma"/>
            <family val="2"/>
          </rPr>
          <t>Minimum Grade Required: C</t>
        </r>
        <r>
          <rPr>
            <sz val="9"/>
            <color indexed="81"/>
            <rFont val="Tahoma"/>
            <family val="2"/>
          </rPr>
          <t xml:space="preserve">
</t>
        </r>
      </text>
    </comment>
    <comment ref="K32" authorId="3" shapeId="0" xr:uid="{00000000-0006-0000-0000-000016000000}">
      <text>
        <r>
          <rPr>
            <b/>
            <sz val="9"/>
            <color indexed="81"/>
            <rFont val="Tahoma"/>
            <family val="2"/>
          </rPr>
          <t>Minimum Grade Required: C</t>
        </r>
      </text>
    </comment>
    <comment ref="L32" authorId="3" shapeId="0" xr:uid="{00000000-0006-0000-0000-000017000000}">
      <text>
        <r>
          <rPr>
            <b/>
            <sz val="9"/>
            <color indexed="81"/>
            <rFont val="Tahoma"/>
            <family val="2"/>
          </rPr>
          <t>Minimum Grade Required: C</t>
        </r>
        <r>
          <rPr>
            <sz val="9"/>
            <color indexed="81"/>
            <rFont val="Tahoma"/>
            <family val="2"/>
          </rPr>
          <t xml:space="preserve">
</t>
        </r>
      </text>
    </comment>
    <comment ref="K33" authorId="3" shapeId="0" xr:uid="{00000000-0006-0000-0000-000018000000}">
      <text>
        <r>
          <rPr>
            <b/>
            <sz val="9"/>
            <color indexed="81"/>
            <rFont val="Tahoma"/>
            <family val="2"/>
          </rPr>
          <t>Minimum Grade Required: C</t>
        </r>
        <r>
          <rPr>
            <sz val="9"/>
            <color indexed="81"/>
            <rFont val="Tahoma"/>
            <family val="2"/>
          </rPr>
          <t xml:space="preserve">
</t>
        </r>
      </text>
    </comment>
    <comment ref="L33" authorId="3" shapeId="0" xr:uid="{00000000-0006-0000-0000-000019000000}">
      <text>
        <r>
          <rPr>
            <b/>
            <sz val="9"/>
            <color indexed="81"/>
            <rFont val="Tahoma"/>
            <family val="2"/>
          </rPr>
          <t>Minimum Grade Required: C</t>
        </r>
        <r>
          <rPr>
            <sz val="9"/>
            <color indexed="81"/>
            <rFont val="Tahoma"/>
            <family val="2"/>
          </rPr>
          <t xml:space="preserve">
</t>
        </r>
      </text>
    </comment>
    <comment ref="A34" authorId="3" shapeId="0" xr:uid="{00000000-0006-0000-0000-00001A000000}">
      <text>
        <r>
          <rPr>
            <b/>
            <sz val="9"/>
            <color indexed="81"/>
            <rFont val="Tahoma"/>
            <family val="2"/>
          </rPr>
          <t>Minimum Grade Required: C</t>
        </r>
      </text>
    </comment>
    <comment ref="B34" authorId="3" shapeId="0" xr:uid="{00000000-0006-0000-0000-00001B000000}">
      <text>
        <r>
          <rPr>
            <b/>
            <sz val="9"/>
            <color indexed="81"/>
            <rFont val="Tahoma"/>
            <family val="2"/>
          </rPr>
          <t>Minimum Grade Required: C</t>
        </r>
        <r>
          <rPr>
            <sz val="9"/>
            <color indexed="81"/>
            <rFont val="Tahoma"/>
            <family val="2"/>
          </rPr>
          <t xml:space="preserve">
</t>
        </r>
      </text>
    </comment>
    <comment ref="D34" authorId="0" shapeId="0" xr:uid="{C6B0FD66-92BD-4DE9-9BC7-9464023DF791}">
      <text>
        <r>
          <rPr>
            <b/>
            <sz val="11"/>
            <color indexed="81"/>
            <rFont val="Tahoma"/>
            <family val="2"/>
          </rPr>
          <t>MEGR 2141 is a prerequisite for: 
MEGR 2144, 
MEGR 2156, 
MEGR 2180, 
MEGR 2240, and 
MEGR 3121</t>
        </r>
        <r>
          <rPr>
            <sz val="11"/>
            <color indexed="81"/>
            <rFont val="Tahoma"/>
            <family val="2"/>
          </rPr>
          <t xml:space="preserve">
</t>
        </r>
      </text>
    </comment>
    <comment ref="K34" authorId="3" shapeId="0" xr:uid="{00000000-0006-0000-0000-00001C000000}">
      <text>
        <r>
          <rPr>
            <b/>
            <sz val="9"/>
            <color indexed="81"/>
            <rFont val="Tahoma"/>
            <family val="2"/>
          </rPr>
          <t>Minimum Grade Required: C</t>
        </r>
        <r>
          <rPr>
            <sz val="9"/>
            <color indexed="81"/>
            <rFont val="Tahoma"/>
            <family val="2"/>
          </rPr>
          <t xml:space="preserve">
</t>
        </r>
      </text>
    </comment>
    <comment ref="A36" authorId="3" shapeId="0" xr:uid="{00000000-0006-0000-0000-00001D000000}">
      <text>
        <r>
          <rPr>
            <b/>
            <sz val="9"/>
            <color indexed="81"/>
            <rFont val="Tahoma"/>
            <family val="2"/>
          </rPr>
          <t>Minimum Grade Required: C</t>
        </r>
        <r>
          <rPr>
            <sz val="9"/>
            <color indexed="81"/>
            <rFont val="Tahoma"/>
            <family val="2"/>
          </rPr>
          <t xml:space="preserve">
</t>
        </r>
      </text>
    </comment>
    <comment ref="K36" authorId="3" shapeId="0" xr:uid="{00000000-0006-0000-0000-00001E000000}">
      <text>
        <r>
          <rPr>
            <b/>
            <sz val="9"/>
            <color indexed="81"/>
            <rFont val="Tahoma"/>
            <family val="2"/>
          </rPr>
          <t>Minimum Grade Required: C</t>
        </r>
        <r>
          <rPr>
            <sz val="9"/>
            <color indexed="81"/>
            <rFont val="Tahoma"/>
            <family val="2"/>
          </rPr>
          <t xml:space="preserve">
</t>
        </r>
      </text>
    </comment>
    <comment ref="K38" authorId="3" shapeId="0" xr:uid="{00000000-0006-0000-0000-00001F000000}">
      <text>
        <r>
          <rPr>
            <b/>
            <sz val="9"/>
            <color indexed="81"/>
            <rFont val="Tahoma"/>
            <family val="2"/>
          </rPr>
          <t>Minimum Grade Required: C</t>
        </r>
        <r>
          <rPr>
            <sz val="9"/>
            <color indexed="81"/>
            <rFont val="Tahoma"/>
            <family val="2"/>
          </rPr>
          <t xml:space="preserve">
</t>
        </r>
      </text>
    </comment>
    <comment ref="D39" authorId="2" shapeId="0" xr:uid="{EBE5E9FD-56EE-4923-9A1F-D23C8F6C9843}">
      <text>
        <r>
          <rPr>
            <sz val="9"/>
            <color indexed="81"/>
            <rFont val="Tahoma"/>
            <family val="2"/>
          </rPr>
          <t>Make a selection.</t>
        </r>
      </text>
    </comment>
    <comment ref="L40" authorId="3" shapeId="0" xr:uid="{F3C8E98D-682E-4FBB-97A5-9CB4903EA2B8}">
      <text>
        <r>
          <rPr>
            <b/>
            <sz val="9"/>
            <color indexed="81"/>
            <rFont val="Tahoma"/>
            <family val="2"/>
          </rPr>
          <t>Minimum Grade Required: D</t>
        </r>
      </text>
    </comment>
    <comment ref="N40" authorId="2" shapeId="0" xr:uid="{00000000-0006-0000-0000-000021000000}">
      <text>
        <r>
          <rPr>
            <b/>
            <sz val="10"/>
            <color indexed="81"/>
            <rFont val="Tahoma"/>
            <family val="2"/>
          </rPr>
          <t>MEGR 2240 may be taken in the summer after the 4th semester or moved to the 5th semester.
MEGR 2180, MEGR 2156, MEGR 2144, MATH 2241, ECGR 2161, and MEGR 2240 can make a challenging combination.</t>
        </r>
      </text>
    </comment>
    <comment ref="E45" authorId="1" shapeId="0" xr:uid="{25949CF1-9C54-48AE-B9E3-DC212550EDB8}">
      <text>
        <r>
          <rPr>
            <b/>
            <sz val="9"/>
            <color indexed="81"/>
            <rFont val="Tahoma"/>
            <family val="2"/>
          </rPr>
          <t>SP=spring; FA=fall; SUM=summer; TR=transfer</t>
        </r>
        <r>
          <rPr>
            <sz val="9"/>
            <color indexed="81"/>
            <rFont val="Tahoma"/>
            <family val="2"/>
          </rPr>
          <t xml:space="preserve">
</t>
        </r>
      </text>
    </comment>
    <comment ref="F45" authorId="1" shapeId="0" xr:uid="{9BFA08D5-B9FC-4F1F-B2D2-32A5DF00A403}">
      <text>
        <r>
          <rPr>
            <b/>
            <sz val="10"/>
            <color indexed="81"/>
            <rFont val="Tahoma"/>
            <family val="2"/>
          </rPr>
          <t>Four-digit format</t>
        </r>
        <r>
          <rPr>
            <sz val="9"/>
            <color indexed="81"/>
            <rFont val="Tahoma"/>
            <family val="2"/>
          </rPr>
          <t xml:space="preserve">
</t>
        </r>
      </text>
    </comment>
    <comment ref="O45" authorId="1" shapeId="0" xr:uid="{A91DB8D0-8D1E-4D78-85C9-F53860FC9D91}">
      <text>
        <r>
          <rPr>
            <b/>
            <sz val="9"/>
            <color indexed="81"/>
            <rFont val="Tahoma"/>
            <family val="2"/>
          </rPr>
          <t>SP=spring; FA=fall; SUM=summer; TR=transfer</t>
        </r>
        <r>
          <rPr>
            <sz val="9"/>
            <color indexed="81"/>
            <rFont val="Tahoma"/>
            <family val="2"/>
          </rPr>
          <t xml:space="preserve">
</t>
        </r>
      </text>
    </comment>
    <comment ref="P45" authorId="1" shapeId="0" xr:uid="{3D7822B6-9395-4919-B80A-EF2F8DE7D4C3}">
      <text>
        <r>
          <rPr>
            <b/>
            <sz val="10"/>
            <color indexed="81"/>
            <rFont val="Tahoma"/>
            <family val="2"/>
          </rPr>
          <t>Four-digit format</t>
        </r>
        <r>
          <rPr>
            <sz val="9"/>
            <color indexed="81"/>
            <rFont val="Tahoma"/>
            <family val="2"/>
          </rPr>
          <t xml:space="preserve">
</t>
        </r>
      </text>
    </comment>
    <comment ref="A46" authorId="3" shapeId="0" xr:uid="{00000000-0006-0000-0000-000023000000}">
      <text>
        <r>
          <rPr>
            <b/>
            <sz val="9"/>
            <color indexed="81"/>
            <rFont val="Tahoma"/>
            <family val="2"/>
          </rPr>
          <t>Minimum Grade Required: C</t>
        </r>
      </text>
    </comment>
    <comment ref="B46" authorId="3" shapeId="0" xr:uid="{00000000-0006-0000-0000-000024000000}">
      <text>
        <r>
          <rPr>
            <b/>
            <sz val="9"/>
            <color indexed="81"/>
            <rFont val="Tahoma"/>
            <family val="2"/>
          </rPr>
          <t>Minimum Grade Required: C</t>
        </r>
      </text>
    </comment>
    <comment ref="D46" authorId="0" shapeId="0" xr:uid="{4AEF5C7C-EB69-46D7-91C7-16CCDF38385B}">
      <text>
        <r>
          <rPr>
            <b/>
            <sz val="11"/>
            <color indexed="81"/>
            <rFont val="Tahoma"/>
            <family val="2"/>
          </rPr>
          <t>Prerequisite for Senior Design</t>
        </r>
        <r>
          <rPr>
            <sz val="9"/>
            <color indexed="81"/>
            <rFont val="Tahoma"/>
            <family val="2"/>
          </rPr>
          <t xml:space="preserve">
</t>
        </r>
      </text>
    </comment>
    <comment ref="K46" authorId="3" shapeId="0" xr:uid="{00000000-0006-0000-0000-000025000000}">
      <text>
        <r>
          <rPr>
            <b/>
            <sz val="9"/>
            <color indexed="81"/>
            <rFont val="Tahoma"/>
            <family val="2"/>
          </rPr>
          <t>Minimum Grade Required: C</t>
        </r>
        <r>
          <rPr>
            <sz val="9"/>
            <color indexed="81"/>
            <rFont val="Tahoma"/>
            <family val="2"/>
          </rPr>
          <t xml:space="preserve">
</t>
        </r>
      </text>
    </comment>
    <comment ref="A48" authorId="3" shapeId="0" xr:uid="{00000000-0006-0000-0000-000026000000}">
      <text>
        <r>
          <rPr>
            <b/>
            <sz val="9"/>
            <color indexed="81"/>
            <rFont val="Tahoma"/>
            <family val="2"/>
          </rPr>
          <t>Minimum Grade Required: C</t>
        </r>
        <r>
          <rPr>
            <sz val="9"/>
            <color indexed="81"/>
            <rFont val="Tahoma"/>
            <family val="2"/>
          </rPr>
          <t xml:space="preserve">
</t>
        </r>
      </text>
    </comment>
    <comment ref="B48" authorId="3" shapeId="0" xr:uid="{00000000-0006-0000-0000-000027000000}">
      <text>
        <r>
          <rPr>
            <b/>
            <sz val="9"/>
            <color indexed="81"/>
            <rFont val="Tahoma"/>
            <family val="2"/>
          </rPr>
          <t>Minimum Grade Required: C</t>
        </r>
        <r>
          <rPr>
            <sz val="9"/>
            <color indexed="81"/>
            <rFont val="Tahoma"/>
            <family val="2"/>
          </rPr>
          <t xml:space="preserve">
</t>
        </r>
      </text>
    </comment>
    <comment ref="D48" authorId="0" shapeId="0" xr:uid="{DB64465C-C0C6-4022-BEBC-EB849EE351DA}">
      <text>
        <r>
          <rPr>
            <b/>
            <sz val="11"/>
            <color indexed="81"/>
            <rFont val="Tahoma"/>
            <family val="2"/>
          </rPr>
          <t>MEGR 3121 is a prerequisite for:
MEGR 3114
MEGR 3116
MEGR 3122
MEGR 3152</t>
        </r>
        <r>
          <rPr>
            <sz val="9"/>
            <color indexed="81"/>
            <rFont val="Tahoma"/>
            <family val="2"/>
          </rPr>
          <t xml:space="preserve">
A grade &lt;C affects MEGR 3114 which affects Senior Design.</t>
        </r>
      </text>
    </comment>
    <comment ref="K48" authorId="3" shapeId="0" xr:uid="{00000000-0006-0000-0000-000028000000}">
      <text>
        <r>
          <rPr>
            <b/>
            <sz val="9"/>
            <color indexed="81"/>
            <rFont val="Tahoma"/>
            <family val="2"/>
          </rPr>
          <t>Minimum Grade Required: C</t>
        </r>
        <r>
          <rPr>
            <sz val="9"/>
            <color indexed="81"/>
            <rFont val="Tahoma"/>
            <family val="2"/>
          </rPr>
          <t xml:space="preserve">
</t>
        </r>
      </text>
    </comment>
    <comment ref="L48" authorId="3" shapeId="0" xr:uid="{00000000-0006-0000-0000-000029000000}">
      <text>
        <r>
          <rPr>
            <b/>
            <sz val="9"/>
            <color indexed="81"/>
            <rFont val="Tahoma"/>
            <family val="2"/>
          </rPr>
          <t>Minimum Grade Required: C</t>
        </r>
      </text>
    </comment>
    <comment ref="K49" authorId="3" shapeId="0" xr:uid="{00000000-0006-0000-0000-00002A000000}">
      <text>
        <r>
          <rPr>
            <b/>
            <sz val="9"/>
            <color indexed="81"/>
            <rFont val="Tahoma"/>
            <family val="2"/>
          </rPr>
          <t>Minimum Grade Required: C</t>
        </r>
        <r>
          <rPr>
            <sz val="9"/>
            <color indexed="81"/>
            <rFont val="Tahoma"/>
            <family val="2"/>
          </rPr>
          <t xml:space="preserve">
</t>
        </r>
      </text>
    </comment>
    <comment ref="A50" authorId="3" shapeId="0" xr:uid="{00000000-0006-0000-0000-00002B000000}">
      <text>
        <r>
          <rPr>
            <b/>
            <sz val="9"/>
            <color indexed="81"/>
            <rFont val="Tahoma"/>
            <family val="2"/>
          </rPr>
          <t>Minimum Grade Required: C</t>
        </r>
        <r>
          <rPr>
            <sz val="9"/>
            <color indexed="81"/>
            <rFont val="Tahoma"/>
            <family val="2"/>
          </rPr>
          <t xml:space="preserve">
</t>
        </r>
      </text>
    </comment>
    <comment ref="B50" authorId="3" shapeId="0" xr:uid="{00000000-0006-0000-0000-00002C000000}">
      <text>
        <r>
          <rPr>
            <b/>
            <sz val="9"/>
            <color indexed="81"/>
            <rFont val="Tahoma"/>
            <family val="2"/>
          </rPr>
          <t>Minimum Grade Required: C</t>
        </r>
        <r>
          <rPr>
            <sz val="9"/>
            <color indexed="81"/>
            <rFont val="Tahoma"/>
            <family val="2"/>
          </rPr>
          <t xml:space="preserve">
</t>
        </r>
      </text>
    </comment>
    <comment ref="D50" authorId="0" shapeId="0" xr:uid="{3704C287-01E2-478F-8EEE-A46B2CB76D17}">
      <text>
        <r>
          <rPr>
            <b/>
            <sz val="11"/>
            <color indexed="81"/>
            <rFont val="Tahoma"/>
            <family val="2"/>
          </rPr>
          <t>Prerequisite for Senior Design</t>
        </r>
        <r>
          <rPr>
            <sz val="9"/>
            <color indexed="81"/>
            <rFont val="Tahoma"/>
            <family val="2"/>
          </rPr>
          <t xml:space="preserve">
</t>
        </r>
      </text>
    </comment>
    <comment ref="K50" authorId="3" shapeId="0" xr:uid="{00000000-0006-0000-0000-00002D000000}">
      <text>
        <r>
          <rPr>
            <b/>
            <sz val="9"/>
            <color indexed="81"/>
            <rFont val="Tahoma"/>
            <family val="2"/>
          </rPr>
          <t>Minimum Grade Required: C</t>
        </r>
        <r>
          <rPr>
            <sz val="9"/>
            <color indexed="81"/>
            <rFont val="Tahoma"/>
            <family val="2"/>
          </rPr>
          <t xml:space="preserve">
</t>
        </r>
      </text>
    </comment>
    <comment ref="N50" authorId="0" shapeId="0" xr:uid="{EF71B6F0-8E96-4EE8-A8A6-4E0719BD5789}">
      <text>
        <r>
          <rPr>
            <b/>
            <sz val="11"/>
            <color indexed="81"/>
            <rFont val="Tahoma"/>
            <family val="2"/>
          </rPr>
          <t>Prerequisite for Senior Design</t>
        </r>
      </text>
    </comment>
    <comment ref="A51" authorId="3" shapeId="0" xr:uid="{00000000-0006-0000-0000-00002E000000}">
      <text>
        <r>
          <rPr>
            <b/>
            <sz val="9"/>
            <color indexed="81"/>
            <rFont val="Tahoma"/>
            <family val="2"/>
          </rPr>
          <t>Minimum Grade Required: C</t>
        </r>
        <r>
          <rPr>
            <sz val="9"/>
            <color indexed="81"/>
            <rFont val="Tahoma"/>
            <family val="2"/>
          </rPr>
          <t xml:space="preserve">
</t>
        </r>
      </text>
    </comment>
    <comment ref="K51" authorId="3" shapeId="0" xr:uid="{00000000-0006-0000-0000-00002F000000}">
      <text>
        <r>
          <rPr>
            <b/>
            <sz val="9"/>
            <color indexed="81"/>
            <rFont val="Tahoma"/>
            <family val="2"/>
          </rPr>
          <t>Minimum Grade Required: C</t>
        </r>
        <r>
          <rPr>
            <sz val="9"/>
            <color indexed="81"/>
            <rFont val="Tahoma"/>
            <family val="2"/>
          </rPr>
          <t xml:space="preserve">
</t>
        </r>
      </text>
    </comment>
    <comment ref="A52" authorId="3" shapeId="0" xr:uid="{00000000-0006-0000-0000-000030000000}">
      <text>
        <r>
          <rPr>
            <b/>
            <sz val="9"/>
            <color indexed="81"/>
            <rFont val="Tahoma"/>
            <family val="2"/>
          </rPr>
          <t>Minimum Grade Required: C</t>
        </r>
        <r>
          <rPr>
            <sz val="9"/>
            <color indexed="81"/>
            <rFont val="Tahoma"/>
            <family val="2"/>
          </rPr>
          <t xml:space="preserve">
</t>
        </r>
      </text>
    </comment>
    <comment ref="K52" authorId="3" shapeId="0" xr:uid="{00000000-0006-0000-0000-000031000000}">
      <text>
        <r>
          <rPr>
            <b/>
            <sz val="9"/>
            <color indexed="81"/>
            <rFont val="Tahoma"/>
            <family val="2"/>
          </rPr>
          <t>Minimum Grade Required: C</t>
        </r>
        <r>
          <rPr>
            <sz val="9"/>
            <color indexed="81"/>
            <rFont val="Tahoma"/>
            <family val="2"/>
          </rPr>
          <t xml:space="preserve">
</t>
        </r>
      </text>
    </comment>
    <comment ref="L52" authorId="3" shapeId="0" xr:uid="{00000000-0006-0000-0000-000032000000}">
      <text>
        <r>
          <rPr>
            <b/>
            <sz val="9"/>
            <color indexed="81"/>
            <rFont val="Tahoma"/>
            <family val="2"/>
          </rPr>
          <t>Minimum Grade Required: C</t>
        </r>
        <r>
          <rPr>
            <sz val="9"/>
            <color indexed="81"/>
            <rFont val="Tahoma"/>
            <family val="2"/>
          </rPr>
          <t xml:space="preserve">
</t>
        </r>
      </text>
    </comment>
    <comment ref="N52" authorId="0" shapeId="0" xr:uid="{726FCF9C-7FB0-4F9D-83A7-2110CB3D85F8}">
      <text>
        <r>
          <rPr>
            <b/>
            <sz val="11"/>
            <color indexed="81"/>
            <rFont val="Tahoma"/>
            <family val="2"/>
          </rPr>
          <t>Prerequisite for Senior Design</t>
        </r>
      </text>
    </comment>
    <comment ref="A53" authorId="3" shapeId="0" xr:uid="{00000000-0006-0000-0000-000033000000}">
      <text>
        <r>
          <rPr>
            <b/>
            <sz val="9"/>
            <color indexed="81"/>
            <rFont val="Tahoma"/>
            <family val="2"/>
          </rPr>
          <t>Minimum Grade Required: C</t>
        </r>
        <r>
          <rPr>
            <sz val="9"/>
            <color indexed="81"/>
            <rFont val="Tahoma"/>
            <family val="2"/>
          </rPr>
          <t xml:space="preserve">
</t>
        </r>
      </text>
    </comment>
    <comment ref="K53" authorId="3" shapeId="0" xr:uid="{00000000-0006-0000-0000-000034000000}">
      <text>
        <r>
          <rPr>
            <b/>
            <sz val="9"/>
            <color indexed="81"/>
            <rFont val="Tahoma"/>
            <family val="2"/>
          </rPr>
          <t>Minimum Grade Required: C</t>
        </r>
      </text>
    </comment>
    <comment ref="L53" authorId="3" shapeId="0" xr:uid="{00000000-0006-0000-0000-000035000000}">
      <text>
        <r>
          <rPr>
            <b/>
            <sz val="9"/>
            <color indexed="81"/>
            <rFont val="Tahoma"/>
            <family val="2"/>
          </rPr>
          <t>Minimum Grade Required: C</t>
        </r>
        <r>
          <rPr>
            <sz val="9"/>
            <color indexed="81"/>
            <rFont val="Tahoma"/>
            <family val="2"/>
          </rPr>
          <t xml:space="preserve">
</t>
        </r>
      </text>
    </comment>
    <comment ref="A54" authorId="3" shapeId="0" xr:uid="{00000000-0006-0000-0000-000036000000}">
      <text>
        <r>
          <rPr>
            <b/>
            <sz val="9"/>
            <color indexed="81"/>
            <rFont val="Tahoma"/>
            <family val="2"/>
          </rPr>
          <t>Minimum Grade Required: C</t>
        </r>
        <r>
          <rPr>
            <sz val="9"/>
            <color indexed="81"/>
            <rFont val="Tahoma"/>
            <family val="2"/>
          </rPr>
          <t xml:space="preserve">
</t>
        </r>
      </text>
    </comment>
    <comment ref="D54" authorId="0" shapeId="0" xr:uid="{ACC49BD4-F876-4B05-AE99-289918AAD53B}">
      <text>
        <r>
          <rPr>
            <b/>
            <sz val="11"/>
            <color indexed="81"/>
            <rFont val="Tahoma"/>
            <family val="2"/>
          </rPr>
          <t>Prerequisite for Senior Design</t>
        </r>
        <r>
          <rPr>
            <sz val="9"/>
            <color indexed="81"/>
            <rFont val="Tahoma"/>
            <family val="2"/>
          </rPr>
          <t xml:space="preserve">
</t>
        </r>
      </text>
    </comment>
    <comment ref="K54" authorId="3" shapeId="0" xr:uid="{00000000-0006-0000-0000-000037000000}">
      <text>
        <r>
          <rPr>
            <b/>
            <sz val="9"/>
            <color indexed="81"/>
            <rFont val="Tahoma"/>
            <family val="2"/>
          </rPr>
          <t>Minimum Grade Required: C</t>
        </r>
        <r>
          <rPr>
            <sz val="9"/>
            <color indexed="81"/>
            <rFont val="Tahoma"/>
            <family val="2"/>
          </rPr>
          <t xml:space="preserve">
</t>
        </r>
      </text>
    </comment>
    <comment ref="L54" authorId="3" shapeId="0" xr:uid="{00000000-0006-0000-0000-000038000000}">
      <text>
        <r>
          <rPr>
            <b/>
            <sz val="9"/>
            <color indexed="81"/>
            <rFont val="Tahoma"/>
            <family val="2"/>
          </rPr>
          <t>Minimum Grade Required: C</t>
        </r>
        <r>
          <rPr>
            <sz val="9"/>
            <color indexed="81"/>
            <rFont val="Tahoma"/>
            <family val="2"/>
          </rPr>
          <t xml:space="preserve">
</t>
        </r>
      </text>
    </comment>
    <comment ref="N54" authorId="2" shapeId="0" xr:uid="{00000000-0006-0000-0000-000039000000}">
      <text>
        <r>
          <rPr>
            <b/>
            <sz val="10"/>
            <color indexed="81"/>
            <rFont val="Tahoma"/>
            <family val="2"/>
          </rPr>
          <t>Take MEGR 3152 before (or with) Senior Design.</t>
        </r>
        <r>
          <rPr>
            <sz val="9"/>
            <color indexed="81"/>
            <rFont val="Tahoma"/>
            <family val="2"/>
          </rPr>
          <t xml:space="preserve">
</t>
        </r>
      </text>
    </comment>
    <comment ref="K55" authorId="3" shapeId="0" xr:uid="{00000000-0006-0000-0000-00003A000000}">
      <text>
        <r>
          <rPr>
            <b/>
            <sz val="9"/>
            <color indexed="81"/>
            <rFont val="Tahoma"/>
            <family val="2"/>
          </rPr>
          <t>Minimum Grade Required: C</t>
        </r>
        <r>
          <rPr>
            <sz val="9"/>
            <color indexed="81"/>
            <rFont val="Tahoma"/>
            <family val="2"/>
          </rPr>
          <t xml:space="preserve">
</t>
        </r>
      </text>
    </comment>
    <comment ref="L55" authorId="3" shapeId="0" xr:uid="{00000000-0006-0000-0000-00003B000000}">
      <text>
        <r>
          <rPr>
            <b/>
            <sz val="9"/>
            <color indexed="81"/>
            <rFont val="Tahoma"/>
            <family val="2"/>
          </rPr>
          <t>Minimum Grade Required: C</t>
        </r>
        <r>
          <rPr>
            <sz val="9"/>
            <color indexed="81"/>
            <rFont val="Tahoma"/>
            <family val="2"/>
          </rPr>
          <t xml:space="preserve">
</t>
        </r>
      </text>
    </comment>
    <comment ref="L56" authorId="3" shapeId="0" xr:uid="{00000000-0006-0000-0000-00003C000000}">
      <text>
        <r>
          <rPr>
            <b/>
            <sz val="9"/>
            <color indexed="81"/>
            <rFont val="Tahoma"/>
            <family val="2"/>
          </rPr>
          <t>Minimum Grade Required: C</t>
        </r>
        <r>
          <rPr>
            <sz val="9"/>
            <color indexed="81"/>
            <rFont val="Tahoma"/>
            <family val="2"/>
          </rPr>
          <t xml:space="preserve">
</t>
        </r>
      </text>
    </comment>
    <comment ref="N56" authorId="2" shapeId="0" xr:uid="{00000000-0006-0000-0000-00003D000000}">
      <text>
        <r>
          <rPr>
            <b/>
            <sz val="10"/>
            <color indexed="81"/>
            <rFont val="Tahoma"/>
            <family val="2"/>
          </rPr>
          <t xml:space="preserve">MEGR 3116 may be taken in the summer after the 6th semester or moved to the 7th semester.
MEGR 3112, MEGR 3122, MEGR 3114, MEGR 3156, MEGR 3152, and MEGR 3116 can make a challenging combination. It is required to take MEGR 3114 and MEGR 3156 before Senior Design. </t>
        </r>
      </text>
    </comment>
    <comment ref="L57" authorId="3" shapeId="0" xr:uid="{00000000-0006-0000-0000-00003E000000}">
      <text>
        <r>
          <rPr>
            <b/>
            <sz val="9"/>
            <color indexed="81"/>
            <rFont val="Tahoma"/>
            <family val="2"/>
          </rPr>
          <t>Minimum Grade Required: C</t>
        </r>
        <r>
          <rPr>
            <sz val="9"/>
            <color indexed="81"/>
            <rFont val="Tahoma"/>
            <family val="2"/>
          </rPr>
          <t xml:space="preserve">
</t>
        </r>
      </text>
    </comment>
    <comment ref="E61" authorId="1" shapeId="0" xr:uid="{D3D9BF2B-FD34-4944-BAC2-36288FB99996}">
      <text>
        <r>
          <rPr>
            <b/>
            <sz val="9"/>
            <color indexed="81"/>
            <rFont val="Tahoma"/>
            <family val="2"/>
          </rPr>
          <t>SP=spring; FA=fall; SUM=summer; TR=transfer</t>
        </r>
        <r>
          <rPr>
            <sz val="9"/>
            <color indexed="81"/>
            <rFont val="Tahoma"/>
            <family val="2"/>
          </rPr>
          <t xml:space="preserve">
</t>
        </r>
      </text>
    </comment>
    <comment ref="F61" authorId="1" shapeId="0" xr:uid="{8BF2AC2D-0D33-4BCC-BB2B-37450DDAEAC8}">
      <text>
        <r>
          <rPr>
            <b/>
            <sz val="10"/>
            <color indexed="81"/>
            <rFont val="Tahoma"/>
            <family val="2"/>
          </rPr>
          <t>Four-digit format</t>
        </r>
        <r>
          <rPr>
            <sz val="9"/>
            <color indexed="81"/>
            <rFont val="Tahoma"/>
            <family val="2"/>
          </rPr>
          <t xml:space="preserve">
</t>
        </r>
      </text>
    </comment>
    <comment ref="O61" authorId="1" shapeId="0" xr:uid="{F431845F-E501-407F-BD17-CCAE9DF980AE}">
      <text>
        <r>
          <rPr>
            <b/>
            <sz val="9"/>
            <color indexed="81"/>
            <rFont val="Tahoma"/>
            <family val="2"/>
          </rPr>
          <t>SP=spring; FA=fall; SUM=summer; TR=transfer</t>
        </r>
        <r>
          <rPr>
            <sz val="9"/>
            <color indexed="81"/>
            <rFont val="Tahoma"/>
            <family val="2"/>
          </rPr>
          <t xml:space="preserve">
</t>
        </r>
      </text>
    </comment>
    <comment ref="P61" authorId="1" shapeId="0" xr:uid="{75BFEDF6-FA5C-4BB2-BDE6-9A86C67DC4F9}">
      <text>
        <r>
          <rPr>
            <b/>
            <sz val="10"/>
            <color indexed="81"/>
            <rFont val="Tahoma"/>
            <family val="2"/>
          </rPr>
          <t>Four-digit format</t>
        </r>
        <r>
          <rPr>
            <sz val="9"/>
            <color indexed="81"/>
            <rFont val="Tahoma"/>
            <family val="2"/>
          </rPr>
          <t xml:space="preserve">
</t>
        </r>
      </text>
    </comment>
    <comment ref="A62" authorId="3" shapeId="0" xr:uid="{26034715-5164-4AFA-899C-7972945B3B17}">
      <text>
        <r>
          <rPr>
            <b/>
            <sz val="9"/>
            <color indexed="81"/>
            <rFont val="Tahoma"/>
            <family val="2"/>
          </rPr>
          <t>Minimum Grade Required: C</t>
        </r>
        <r>
          <rPr>
            <sz val="9"/>
            <color indexed="81"/>
            <rFont val="Tahoma"/>
            <family val="2"/>
          </rPr>
          <t xml:space="preserve">
</t>
        </r>
      </text>
    </comment>
    <comment ref="A63" authorId="3" shapeId="0" xr:uid="{E3010905-1FE1-4AD3-824F-E3529FEC7487}">
      <text>
        <r>
          <rPr>
            <b/>
            <sz val="9"/>
            <color indexed="81"/>
            <rFont val="Tahoma"/>
            <family val="2"/>
          </rPr>
          <t>Minimum Grade Required: C</t>
        </r>
        <r>
          <rPr>
            <sz val="9"/>
            <color indexed="81"/>
            <rFont val="Tahoma"/>
            <family val="2"/>
          </rPr>
          <t xml:space="preserve">
</t>
        </r>
      </text>
    </comment>
    <comment ref="A64" authorId="3" shapeId="0" xr:uid="{0EB0600D-2AF4-47B7-818F-CC8E90034889}">
      <text>
        <r>
          <rPr>
            <b/>
            <sz val="9"/>
            <color indexed="81"/>
            <rFont val="Tahoma"/>
            <family val="2"/>
          </rPr>
          <t>Minimum Grade Required: C</t>
        </r>
        <r>
          <rPr>
            <sz val="9"/>
            <color indexed="81"/>
            <rFont val="Tahoma"/>
            <family val="2"/>
          </rPr>
          <t xml:space="preserve">
</t>
        </r>
      </text>
    </comment>
    <comment ref="A65" authorId="3" shapeId="0" xr:uid="{00000000-0006-0000-0000-00003F000000}">
      <text>
        <r>
          <rPr>
            <b/>
            <sz val="9"/>
            <color indexed="81"/>
            <rFont val="Tahoma"/>
            <family val="2"/>
          </rPr>
          <t>Minimum Grade Required: C</t>
        </r>
        <r>
          <rPr>
            <sz val="9"/>
            <color indexed="81"/>
            <rFont val="Tahoma"/>
            <family val="2"/>
          </rPr>
          <t xml:space="preserve">
</t>
        </r>
      </text>
    </comment>
    <comment ref="A66" authorId="3" shapeId="0" xr:uid="{00000000-0006-0000-0000-000040000000}">
      <text>
        <r>
          <rPr>
            <b/>
            <sz val="9"/>
            <color indexed="81"/>
            <rFont val="Tahoma"/>
            <family val="2"/>
          </rPr>
          <t>Minimum Grade Required: C</t>
        </r>
        <r>
          <rPr>
            <sz val="9"/>
            <color indexed="81"/>
            <rFont val="Tahoma"/>
            <family val="2"/>
          </rPr>
          <t xml:space="preserve">
</t>
        </r>
      </text>
    </comment>
    <comment ref="A69" authorId="3" shapeId="0" xr:uid="{00000000-0006-0000-0000-000041000000}">
      <text>
        <r>
          <rPr>
            <b/>
            <sz val="9"/>
            <color indexed="81"/>
            <rFont val="Tahoma"/>
            <family val="2"/>
          </rPr>
          <t>Minimum Grade Required: C</t>
        </r>
        <r>
          <rPr>
            <sz val="9"/>
            <color indexed="81"/>
            <rFont val="Tahoma"/>
            <family val="2"/>
          </rPr>
          <t xml:space="preserve">
</t>
        </r>
      </text>
    </comment>
    <comment ref="D69" authorId="2" shapeId="0" xr:uid="{00000000-0006-0000-0000-000042000000}">
      <text>
        <r>
          <rPr>
            <b/>
            <sz val="10"/>
            <color indexed="81"/>
            <rFont val="Tahoma"/>
            <family val="2"/>
          </rPr>
          <t xml:space="preserve">Take MEGR 3251 with or before Senior Design. </t>
        </r>
        <r>
          <rPr>
            <sz val="9"/>
            <color indexed="81"/>
            <rFont val="Tahoma"/>
            <family val="2"/>
          </rPr>
          <t xml:space="preserve">
</t>
        </r>
      </text>
    </comment>
    <comment ref="A70" authorId="3" shapeId="0" xr:uid="{00000000-0006-0000-0000-000043000000}">
      <text>
        <r>
          <rPr>
            <b/>
            <sz val="9"/>
            <color indexed="81"/>
            <rFont val="Tahoma"/>
            <family val="2"/>
          </rPr>
          <t>Minimum Grade Required: C</t>
        </r>
        <r>
          <rPr>
            <sz val="9"/>
            <color indexed="81"/>
            <rFont val="Tahoma"/>
            <family val="2"/>
          </rPr>
          <t xml:space="preserve">
</t>
        </r>
      </text>
    </comment>
    <comment ref="B70" authorId="3" shapeId="0" xr:uid="{00000000-0006-0000-0000-000044000000}">
      <text>
        <r>
          <rPr>
            <b/>
            <sz val="9"/>
            <color indexed="81"/>
            <rFont val="Tahoma"/>
            <family val="2"/>
          </rPr>
          <t>Minimum Grade Required: C</t>
        </r>
        <r>
          <rPr>
            <sz val="9"/>
            <color indexed="81"/>
            <rFont val="Tahoma"/>
            <family val="2"/>
          </rPr>
          <t xml:space="preserve">
</t>
        </r>
      </text>
    </comment>
    <comment ref="C71" authorId="3" shapeId="0" xr:uid="{00000000-0006-0000-0000-000045000000}">
      <text>
        <r>
          <rPr>
            <b/>
            <sz val="10"/>
            <color indexed="81"/>
            <rFont val="Tahoma"/>
            <family val="2"/>
          </rPr>
          <t>Option 1: STAT 3128
Option 2: MATH 2164 or MATH 3171 plus MEGR 3282 as a technical elective.</t>
        </r>
      </text>
    </comment>
    <comment ref="N74" authorId="2" shapeId="0" xr:uid="{9C33A2C7-AB2F-4BD3-86A6-99CAFC6160A7}">
      <text>
        <r>
          <rPr>
            <sz val="9"/>
            <color indexed="81"/>
            <rFont val="Tahoma"/>
            <family val="2"/>
          </rPr>
          <t>Make a selection.</t>
        </r>
      </text>
    </comment>
    <comment ref="C75" authorId="3" shapeId="0" xr:uid="{00000000-0006-0000-0000-000047000000}">
      <text>
        <r>
          <rPr>
            <b/>
            <sz val="10"/>
            <color indexed="81"/>
            <rFont val="Tahoma"/>
            <family val="2"/>
          </rPr>
          <t>Option 1: MEGR 3221 (requires C or better in MEGR 2144 and 3121)
Option 2: MEGR 3216 (requires C or better in MEGR 3112, 3114 and 3116)</t>
        </r>
      </text>
    </comment>
  </commentList>
</comments>
</file>

<file path=xl/sharedStrings.xml><?xml version="1.0" encoding="utf-8"?>
<sst xmlns="http://schemas.openxmlformats.org/spreadsheetml/2006/main" count="381" uniqueCount="192">
  <si>
    <t>Course</t>
  </si>
  <si>
    <t>ENGR</t>
  </si>
  <si>
    <t xml:space="preserve">CHEM </t>
  </si>
  <si>
    <t>1251L</t>
  </si>
  <si>
    <t>MATH</t>
  </si>
  <si>
    <t>PHYS</t>
  </si>
  <si>
    <t>2101L</t>
  </si>
  <si>
    <t xml:space="preserve">PHYS </t>
  </si>
  <si>
    <t>MEGR</t>
  </si>
  <si>
    <t>2102L</t>
  </si>
  <si>
    <t xml:space="preserve">MEGR </t>
  </si>
  <si>
    <t>ECGR</t>
  </si>
  <si>
    <t>3171L</t>
  </si>
  <si>
    <t>PHYS 2101</t>
  </si>
  <si>
    <t>MATH 1242</t>
  </si>
  <si>
    <t>ENGR 1202</t>
  </si>
  <si>
    <t>PHYS 2102L</t>
  </si>
  <si>
    <t>MATH 1241</t>
  </si>
  <si>
    <t>MEGR 2141</t>
  </si>
  <si>
    <t>ENGR 1201</t>
  </si>
  <si>
    <t>MATH 2241</t>
  </si>
  <si>
    <t>MATH 2171</t>
  </si>
  <si>
    <t>MEGR 2144</t>
  </si>
  <si>
    <t>ECGR 2161</t>
  </si>
  <si>
    <t>MEGR 3111</t>
  </si>
  <si>
    <t>MEGR 3121</t>
  </si>
  <si>
    <t>MEGR 2156</t>
  </si>
  <si>
    <t>MEGR 3161</t>
  </si>
  <si>
    <t>MEGR 3171L</t>
  </si>
  <si>
    <t>MEGR 3156</t>
  </si>
  <si>
    <t>MEGR 3114</t>
  </si>
  <si>
    <t>SENIOR OR JUNIOR STANDING</t>
  </si>
  <si>
    <t>Co-Requisite</t>
  </si>
  <si>
    <t>PHYS 2101L</t>
  </si>
  <si>
    <t xml:space="preserve">CHEM 1251 </t>
  </si>
  <si>
    <t>CHECK CATALOG</t>
  </si>
  <si>
    <t>MEGR 2180</t>
  </si>
  <si>
    <t>MEGR 3152</t>
  </si>
  <si>
    <t>MEGR 3251</t>
  </si>
  <si>
    <t>MEGR 2299</t>
  </si>
  <si>
    <t>PHYS 2102</t>
  </si>
  <si>
    <t>Pre-Requisite - C or Better Required</t>
  </si>
  <si>
    <t xml:space="preserve">MEGR 3171 </t>
  </si>
  <si>
    <t>MEGR 2240</t>
  </si>
  <si>
    <t>221X</t>
  </si>
  <si>
    <t>Credits</t>
  </si>
  <si>
    <t>MATH 1103 OR PLACEMENT</t>
  </si>
  <si>
    <t xml:space="preserve"> Manuf. Systems</t>
  </si>
  <si>
    <t>Design Proj. Lab</t>
  </si>
  <si>
    <t>Solid Mechanics</t>
  </si>
  <si>
    <t>Basic Elect. Engr</t>
  </si>
  <si>
    <t xml:space="preserve"> Computational Methods</t>
  </si>
  <si>
    <t>Thermodynamics I</t>
  </si>
  <si>
    <t>Dynamic Systems I</t>
  </si>
  <si>
    <t>Engr Materials</t>
  </si>
  <si>
    <t>Meas. &amp; Instrum.</t>
  </si>
  <si>
    <t>Instrum. Lab</t>
  </si>
  <si>
    <t>Mechs &amp; Materials Lab</t>
  </si>
  <si>
    <t>Fluid Mechanics</t>
  </si>
  <si>
    <t>Design Proj. Lab II</t>
  </si>
  <si>
    <t>Heat Transfer</t>
  </si>
  <si>
    <t>Dynamic Systems II</t>
  </si>
  <si>
    <t>Thermodynamics II</t>
  </si>
  <si>
    <t>Prof. Development</t>
  </si>
  <si>
    <t>Thermal/Fluids Lab</t>
  </si>
  <si>
    <t>Senior Design I</t>
  </si>
  <si>
    <t>Intro to Engr II</t>
  </si>
  <si>
    <t>Engr Mechanics I</t>
  </si>
  <si>
    <t>MEGR 2499</t>
  </si>
  <si>
    <t>Intro to Engr I</t>
  </si>
  <si>
    <t>Name:</t>
  </si>
  <si>
    <t>Student ID:</t>
  </si>
  <si>
    <t>MEGR 3255</t>
  </si>
  <si>
    <t>MEGR 3355</t>
  </si>
  <si>
    <t>MEGR 3455</t>
  </si>
  <si>
    <t>MEGR 3256</t>
  </si>
  <si>
    <t>MEGR 3456</t>
  </si>
  <si>
    <t>Senior Design II</t>
  </si>
  <si>
    <t>SP</t>
  </si>
  <si>
    <t>FA</t>
  </si>
  <si>
    <t>Year</t>
  </si>
  <si>
    <t>SUM</t>
  </si>
  <si>
    <t>TR</t>
  </si>
  <si>
    <t xml:space="preserve">CHECK CATALOG </t>
  </si>
  <si>
    <t xml:space="preserve">CHECK  CATALOG </t>
  </si>
  <si>
    <t>Sem</t>
  </si>
  <si>
    <t>Motorsports Sr Des I</t>
  </si>
  <si>
    <t>Energy Sr Des I</t>
  </si>
  <si>
    <t>Physics II</t>
  </si>
  <si>
    <t>Physics II Lab</t>
  </si>
  <si>
    <t>Diff Equations</t>
  </si>
  <si>
    <t>Calculus III</t>
  </si>
  <si>
    <t>Chemistry I</t>
  </si>
  <si>
    <t>Chemistry Lab</t>
  </si>
  <si>
    <t>Calculus I</t>
  </si>
  <si>
    <t>Physics I</t>
  </si>
  <si>
    <t>Physics I Lab</t>
  </si>
  <si>
    <t>Calculus II</t>
  </si>
  <si>
    <t>SCIENCE ELECTIVE</t>
  </si>
  <si>
    <t>Energy Sr Des II</t>
  </si>
  <si>
    <t>Motorsports Sr Des II</t>
  </si>
  <si>
    <t>MATH ELECTIVE</t>
  </si>
  <si>
    <t>** MEGR 3114 (Fluid Mechanics) - Pre-requisite OR Co-requisite to MEGR 3116 (Heat Transfer) - C or Better Required</t>
  </si>
  <si>
    <t>Sem 1</t>
  </si>
  <si>
    <t>Sem 2</t>
  </si>
  <si>
    <t>Prerequisite violations</t>
  </si>
  <si>
    <t>total number of prerequisite violations</t>
  </si>
  <si>
    <t>term</t>
  </si>
  <si>
    <t>year</t>
  </si>
  <si>
    <t>credits</t>
  </si>
  <si>
    <t>date code</t>
  </si>
  <si>
    <t>Credits By Term</t>
  </si>
  <si>
    <t>Total</t>
  </si>
  <si>
    <t>days since 1/1/2008</t>
  </si>
  <si>
    <t>effective date of today</t>
  </si>
  <si>
    <t>Is your plan complete?</t>
  </si>
  <si>
    <t>Does your plan follow all prerequisites and corequisites?</t>
  </si>
  <si>
    <t>The date of today</t>
  </si>
  <si>
    <t>Number of credits your plan indicates that you have completed or will complete this semester.</t>
  </si>
  <si>
    <t>Percent completion:</t>
  </si>
  <si>
    <t>number of credits needed</t>
  </si>
  <si>
    <t>% complete of total required credits</t>
  </si>
  <si>
    <t>completed</t>
  </si>
  <si>
    <t>abide by credit hour limits</t>
  </si>
  <si>
    <t>allowed</t>
  </si>
  <si>
    <t>Does your plan comply with the limits of credits allowed for each semester?</t>
  </si>
  <si>
    <t>Sem 1: Date</t>
  </si>
  <si>
    <t>Sem 2: Date</t>
  </si>
  <si>
    <t>Credits by Semester</t>
  </si>
  <si>
    <t>MEGR 2279 Intro to Biomedical Eng</t>
  </si>
  <si>
    <t>MEGR 2499 Intro to Energy Eng</t>
  </si>
  <si>
    <r>
      <rPr>
        <b/>
        <sz val="8"/>
        <rFont val="Calibri"/>
        <family val="2"/>
        <scheme val="minor"/>
      </rPr>
      <t>ADMISSION TO</t>
    </r>
    <r>
      <rPr>
        <b/>
        <sz val="8"/>
        <color indexed="52"/>
        <rFont val="Calibri"/>
        <family val="2"/>
        <scheme val="minor"/>
      </rPr>
      <t xml:space="preserve"> MOTORSPORTS</t>
    </r>
  </si>
  <si>
    <r>
      <rPr>
        <b/>
        <sz val="8"/>
        <rFont val="Calibri"/>
        <family val="2"/>
        <scheme val="minor"/>
      </rPr>
      <t>ADMISSION TO</t>
    </r>
    <r>
      <rPr>
        <b/>
        <sz val="8"/>
        <color indexed="52"/>
        <rFont val="Calibri"/>
        <family val="2"/>
        <scheme val="minor"/>
      </rPr>
      <t xml:space="preserve"> </t>
    </r>
    <r>
      <rPr>
        <b/>
        <sz val="8"/>
        <color theme="8"/>
        <rFont val="Calibri"/>
        <family val="2"/>
        <scheme val="minor"/>
      </rPr>
      <t>BIOMEDICAL</t>
    </r>
  </si>
  <si>
    <t>MEGR 3275</t>
  </si>
  <si>
    <t>MEGR 2279</t>
  </si>
  <si>
    <t>MEGR 3276</t>
  </si>
  <si>
    <t>ME Technical Elective or</t>
  </si>
  <si>
    <r>
      <t xml:space="preserve">** MEGR 3152 (Mechanics &amp; Materials Lab) - Pre-requisite </t>
    </r>
    <r>
      <rPr>
        <b/>
        <u/>
        <sz val="10"/>
        <color rgb="FF009900"/>
        <rFont val="Calibri"/>
        <family val="2"/>
        <scheme val="minor"/>
      </rPr>
      <t>OR</t>
    </r>
    <r>
      <rPr>
        <b/>
        <sz val="10"/>
        <color rgb="FF009900"/>
        <rFont val="Calibri"/>
        <family val="2"/>
        <scheme val="minor"/>
      </rPr>
      <t xml:space="preserve"> Co-requisite to MEGR 3255 Senior Design I, 3355 - Motorsports Senior Design I, 3455 - Energy Senior Design I, and 3275 - Bioengineering Senior Design I</t>
    </r>
  </si>
  <si>
    <r>
      <t xml:space="preserve">** MEGR 3251 (Thermal/Fluids Lab) - Pre-requisite </t>
    </r>
    <r>
      <rPr>
        <b/>
        <u/>
        <sz val="10"/>
        <color rgb="FF009900"/>
        <rFont val="Calibri"/>
        <family val="2"/>
        <scheme val="minor"/>
      </rPr>
      <t>OR</t>
    </r>
    <r>
      <rPr>
        <b/>
        <sz val="10"/>
        <color rgb="FF009900"/>
        <rFont val="Calibri"/>
        <family val="2"/>
        <scheme val="minor"/>
      </rPr>
      <t xml:space="preserve"> Co-requisite to MEGR 3255 Senior Design I, 3355 - Motorsports Senior Design I, 3455 - Energy Senior Design I, and 3275 - Bioengineering Senior Design I</t>
    </r>
  </si>
  <si>
    <t>Biomed Sr Des I</t>
  </si>
  <si>
    <t>Biomed Sr Des II</t>
  </si>
  <si>
    <t>MEGR 2299 Intro to Motorsports Eng</t>
  </si>
  <si>
    <t>Writing &amp; Inquiry</t>
  </si>
  <si>
    <t>NONE</t>
  </si>
  <si>
    <t>MEGR 3356</t>
  </si>
  <si>
    <t>Transfer</t>
  </si>
  <si>
    <t>DESIGN ELECTIVE</t>
  </si>
  <si>
    <t>Pre- or Co-Requisites</t>
  </si>
  <si>
    <r>
      <rPr>
        <b/>
        <sz val="8"/>
        <rFont val="Calibri"/>
        <family val="2"/>
        <scheme val="minor"/>
      </rPr>
      <t>ADMISSION TO</t>
    </r>
    <r>
      <rPr>
        <b/>
        <sz val="8"/>
        <color indexed="52"/>
        <rFont val="Calibri"/>
        <family val="2"/>
        <scheme val="minor"/>
      </rPr>
      <t xml:space="preserve"> </t>
    </r>
    <r>
      <rPr>
        <b/>
        <sz val="8"/>
        <color rgb="FFFF33CC"/>
        <rFont val="Calibri"/>
        <family val="2"/>
        <scheme val="minor"/>
      </rPr>
      <t>ENERGY</t>
    </r>
    <r>
      <rPr>
        <b/>
        <sz val="8"/>
        <color indexed="52"/>
        <rFont val="Calibri"/>
        <family val="2"/>
        <scheme val="minor"/>
      </rPr>
      <t/>
    </r>
  </si>
  <si>
    <t>MEGR 3116 may be taken in the summer after the 6th semester or moved to the 7th semester.</t>
  </si>
  <si>
    <r>
      <rPr>
        <sz val="8.5"/>
        <rFont val="Calibri"/>
        <family val="2"/>
        <scheme val="minor"/>
      </rPr>
      <t>MEGR 2240 may be taken in the summer after the 4th semester or moved to the 5th semester</t>
    </r>
    <r>
      <rPr>
        <b/>
        <sz val="8.5"/>
        <rFont val="Calibri"/>
        <family val="2"/>
        <scheme val="minor"/>
      </rPr>
      <t>.</t>
    </r>
  </si>
  <si>
    <t>MEGR 3216</t>
  </si>
  <si>
    <t>MEGR 3221</t>
  </si>
  <si>
    <t>Fund Sci and Math</t>
  </si>
  <si>
    <t>Complete MEGR 1100 or CHEM 1251&amp;1251L. Enter the term for whichever course was completed.</t>
  </si>
  <si>
    <t>Prerequisite or Co-requisite</t>
  </si>
  <si>
    <t>CHEM 1251 or MEGR 1100</t>
  </si>
  <si>
    <t>Pre-Requisite - D or Better Required</t>
  </si>
  <si>
    <t>H</t>
  </si>
  <si>
    <t>P</t>
  </si>
  <si>
    <t>N</t>
  </si>
  <si>
    <t>Enter your full name and ID number:</t>
  </si>
  <si>
    <t>A C or better in MEGR 2141 is required for: MEGR 2144, MEGR 2156, MEGR 2180 and MEGR 3121; MEGR 2240 requires passing MEGR 2141.</t>
  </si>
  <si>
    <t>A C or better in MEGR 3121 is required for: MEGR 3114, 3116, 3122, and 3152.</t>
  </si>
  <si>
    <t>Senior Design I requires: MEGR 3152 and MEGR 3251 as pre-/co-requisites And these courses completed with a C or better: MEGR 3111, MEGR 3114, MEGR 3156, MEGR 3161, and MEGR 3171L</t>
  </si>
  <si>
    <t>Sem: SP=spring; FA=fall; SUM=summer; TR=transfer</t>
  </si>
  <si>
    <t>Term</t>
  </si>
  <si>
    <t>WRDS</t>
  </si>
  <si>
    <t>MEGR 2289</t>
  </si>
  <si>
    <t>MEGR 3285</t>
  </si>
  <si>
    <t>Precision Sr Des I</t>
  </si>
  <si>
    <t>MEGR 3286</t>
  </si>
  <si>
    <t>Precision Sr Des II</t>
  </si>
  <si>
    <r>
      <t>Motorsports/</t>
    </r>
    <r>
      <rPr>
        <b/>
        <sz val="9"/>
        <color rgb="FFFF33CC"/>
        <rFont val="Calibri"/>
        <family val="2"/>
        <scheme val="minor"/>
      </rPr>
      <t>Energy/</t>
    </r>
    <r>
      <rPr>
        <b/>
        <sz val="9"/>
        <color theme="8"/>
        <rFont val="Calibri"/>
        <family val="2"/>
        <scheme val="minor"/>
      </rPr>
      <t>Biomed</t>
    </r>
    <r>
      <rPr>
        <b/>
        <sz val="9"/>
        <color indexed="52"/>
        <rFont val="Calibri"/>
        <family val="2"/>
        <scheme val="minor"/>
      </rPr>
      <t>/</t>
    </r>
    <r>
      <rPr>
        <b/>
        <sz val="9"/>
        <color theme="3" tint="-0.249977111117893"/>
        <rFont val="Calibri"/>
        <family val="2"/>
        <scheme val="minor"/>
      </rPr>
      <t>Precision</t>
    </r>
  </si>
  <si>
    <t>XXXX</t>
  </si>
  <si>
    <t>Global Social Science</t>
  </si>
  <si>
    <t>Global Arts/Humanities</t>
  </si>
  <si>
    <t>Local Social Science</t>
  </si>
  <si>
    <t>Local Arts/Humanities</t>
  </si>
  <si>
    <t>CTCM</t>
  </si>
  <si>
    <t>BSME Academic Advising Plan - Provide inputs under "Sem" and "Year" for each course.</t>
  </si>
  <si>
    <t>For Gen Ed 2023</t>
  </si>
  <si>
    <t>First Year</t>
  </si>
  <si>
    <t>Second/Sophomore Year</t>
  </si>
  <si>
    <t>Enter a semester and year to highlight cells below in the Term column beside courses in the semester of interest.</t>
  </si>
  <si>
    <t>Term of highlighted semester:</t>
  </si>
  <si>
    <t>MEGR 2899 Intro to Precision Eng and Metrology</t>
  </si>
  <si>
    <r>
      <rPr>
        <b/>
        <sz val="8"/>
        <rFont val="Calibri"/>
        <family val="2"/>
        <scheme val="minor"/>
      </rPr>
      <t>ADMISSION TO</t>
    </r>
    <r>
      <rPr>
        <b/>
        <sz val="8"/>
        <color indexed="52"/>
        <rFont val="Calibri"/>
        <family val="2"/>
        <scheme val="minor"/>
      </rPr>
      <t xml:space="preserve"> </t>
    </r>
    <r>
      <rPr>
        <b/>
        <sz val="8"/>
        <color rgb="FF7030A0"/>
        <rFont val="Calibri"/>
        <family val="2"/>
        <scheme val="minor"/>
      </rPr>
      <t>PRECISION</t>
    </r>
  </si>
  <si>
    <t>WRDS 110x</t>
  </si>
  <si>
    <t>Critical Thinking and Communication</t>
  </si>
  <si>
    <t>Third/Junior Year</t>
  </si>
  <si>
    <t>Senior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</si>
</sst>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1" x14ac:knownFonts="1">
    <font>
      <sz val="10"/>
      <name val="Arial"/>
    </font>
    <font>
      <sz val="8"/>
      <name val="Arial"/>
      <family val="2"/>
    </font>
    <font>
      <sz val="10"/>
      <name val="Arial"/>
      <family val="2"/>
    </font>
    <font>
      <b/>
      <sz val="12"/>
      <name val="Calibri"/>
      <family val="2"/>
      <scheme val="minor"/>
    </font>
    <font>
      <b/>
      <sz val="12"/>
      <color rgb="FF009900"/>
      <name val="Calibri"/>
      <family val="2"/>
      <scheme val="minor"/>
    </font>
    <font>
      <b/>
      <sz val="18"/>
      <color rgb="FF009900"/>
      <name val="Calibri"/>
      <family val="2"/>
      <scheme val="minor"/>
    </font>
    <font>
      <b/>
      <sz val="10"/>
      <name val="Calibri"/>
      <family val="2"/>
      <scheme val="minor"/>
    </font>
    <font>
      <sz val="10"/>
      <name val="Calibri"/>
      <family val="2"/>
      <scheme val="minor"/>
    </font>
    <font>
      <sz val="8"/>
      <name val="Calibri"/>
      <family val="2"/>
      <scheme val="minor"/>
    </font>
    <font>
      <b/>
      <sz val="12"/>
      <color indexed="10"/>
      <name val="Calibri"/>
      <family val="2"/>
      <scheme val="minor"/>
    </font>
    <font>
      <b/>
      <sz val="9"/>
      <name val="Calibri"/>
      <family val="2"/>
      <scheme val="minor"/>
    </font>
    <font>
      <b/>
      <sz val="11"/>
      <name val="Calibri"/>
      <family val="2"/>
      <scheme val="minor"/>
    </font>
    <font>
      <b/>
      <sz val="12"/>
      <color indexed="12"/>
      <name val="Calibri"/>
      <family val="2"/>
      <scheme val="minor"/>
    </font>
    <font>
      <b/>
      <sz val="8"/>
      <name val="Calibri"/>
      <family val="2"/>
      <scheme val="minor"/>
    </font>
    <font>
      <b/>
      <sz val="8"/>
      <color indexed="52"/>
      <name val="Calibri"/>
      <family val="2"/>
      <scheme val="minor"/>
    </font>
    <font>
      <b/>
      <sz val="12"/>
      <color indexed="52"/>
      <name val="Calibri"/>
      <family val="2"/>
      <scheme val="minor"/>
    </font>
    <font>
      <b/>
      <sz val="12"/>
      <color rgb="FFFF0000"/>
      <name val="Calibri"/>
      <family val="2"/>
      <scheme val="minor"/>
    </font>
    <font>
      <b/>
      <sz val="12"/>
      <color rgb="FF00B050"/>
      <name val="Calibri"/>
      <family val="2"/>
      <scheme val="minor"/>
    </font>
    <font>
      <b/>
      <sz val="12"/>
      <color rgb="FF0033CC"/>
      <name val="Calibri"/>
      <family val="2"/>
      <scheme val="minor"/>
    </font>
    <font>
      <b/>
      <sz val="10"/>
      <color rgb="FF00B050"/>
      <name val="Calibri"/>
      <family val="2"/>
      <scheme val="minor"/>
    </font>
    <font>
      <b/>
      <sz val="16"/>
      <name val="Calibri"/>
      <family val="2"/>
      <scheme val="minor"/>
    </font>
    <font>
      <sz val="12"/>
      <name val="Calibri"/>
      <family val="2"/>
      <scheme val="minor"/>
    </font>
    <font>
      <b/>
      <sz val="14"/>
      <name val="Calibri"/>
      <family val="2"/>
      <scheme val="minor"/>
    </font>
    <font>
      <b/>
      <u/>
      <sz val="12"/>
      <color rgb="FF009900"/>
      <name val="Calibri"/>
      <family val="2"/>
      <scheme val="minor"/>
    </font>
    <font>
      <b/>
      <sz val="10"/>
      <color rgb="FF009900"/>
      <name val="Calibri"/>
      <family val="2"/>
      <scheme val="minor"/>
    </font>
    <font>
      <sz val="10"/>
      <color rgb="FF009900"/>
      <name val="Calibri"/>
      <family val="2"/>
      <scheme val="minor"/>
    </font>
    <font>
      <b/>
      <u/>
      <sz val="10"/>
      <color rgb="FF009900"/>
      <name val="Calibri"/>
      <family val="2"/>
      <scheme val="minor"/>
    </font>
    <font>
      <sz val="9"/>
      <color indexed="81"/>
      <name val="Tahoma"/>
      <family val="2"/>
    </font>
    <font>
      <b/>
      <sz val="9"/>
      <color indexed="81"/>
      <name val="Tahoma"/>
      <family val="2"/>
    </font>
    <font>
      <b/>
      <sz val="12"/>
      <color rgb="FF7030A0"/>
      <name val="Calibri"/>
      <family val="2"/>
      <scheme val="minor"/>
    </font>
    <font>
      <b/>
      <sz val="10"/>
      <color rgb="FF7030A0"/>
      <name val="Calibri"/>
      <family val="2"/>
      <scheme val="minor"/>
    </font>
    <font>
      <b/>
      <sz val="6"/>
      <name val="Calibri"/>
      <family val="2"/>
      <scheme val="minor"/>
    </font>
    <font>
      <b/>
      <u/>
      <sz val="12"/>
      <name val="Calibri"/>
      <family val="2"/>
      <scheme val="minor"/>
    </font>
    <font>
      <b/>
      <sz val="12"/>
      <color rgb="FF00B0F0"/>
      <name val="Calibri"/>
      <family val="2"/>
      <scheme val="minor"/>
    </font>
    <font>
      <sz val="6"/>
      <name val="Calibri"/>
      <family val="2"/>
      <scheme val="minor"/>
    </font>
    <font>
      <b/>
      <sz val="8"/>
      <color theme="8"/>
      <name val="Calibri"/>
      <family val="2"/>
      <scheme val="minor"/>
    </font>
    <font>
      <b/>
      <sz val="9"/>
      <color indexed="52"/>
      <name val="Calibri"/>
      <family val="2"/>
      <scheme val="minor"/>
    </font>
    <font>
      <b/>
      <sz val="9"/>
      <color indexed="10"/>
      <name val="Calibri"/>
      <family val="2"/>
      <scheme val="minor"/>
    </font>
    <font>
      <b/>
      <sz val="9"/>
      <color theme="8"/>
      <name val="Calibri"/>
      <family val="2"/>
      <scheme val="minor"/>
    </font>
    <font>
      <b/>
      <sz val="12"/>
      <color theme="8"/>
      <name val="Calibri"/>
      <family val="2"/>
      <scheme val="minor"/>
    </font>
    <font>
      <b/>
      <sz val="12"/>
      <color rgb="FF0000FF"/>
      <name val="Calibri"/>
      <family val="2"/>
      <scheme val="minor"/>
    </font>
    <font>
      <b/>
      <sz val="9"/>
      <color rgb="FF0000FF"/>
      <name val="Calibri"/>
      <family val="2"/>
      <scheme val="minor"/>
    </font>
    <font>
      <sz val="11"/>
      <color rgb="FF006100"/>
      <name val="Calibri"/>
      <family val="2"/>
      <scheme val="minor"/>
    </font>
    <font>
      <sz val="11"/>
      <color rgb="FF9C0006"/>
      <name val="Calibri"/>
      <family val="2"/>
      <scheme val="minor"/>
    </font>
    <font>
      <b/>
      <sz val="12"/>
      <color rgb="FFFF33CC"/>
      <name val="Calibri"/>
      <family val="2"/>
      <scheme val="minor"/>
    </font>
    <font>
      <b/>
      <sz val="8"/>
      <color rgb="FFFF33CC"/>
      <name val="Calibri"/>
      <family val="2"/>
      <scheme val="minor"/>
    </font>
    <font>
      <b/>
      <sz val="9"/>
      <color rgb="FFFF33CC"/>
      <name val="Calibri"/>
      <family val="2"/>
      <scheme val="minor"/>
    </font>
    <font>
      <sz val="11"/>
      <color rgb="FF00B0F0"/>
      <name val="Calibri"/>
      <family val="2"/>
      <scheme val="minor"/>
    </font>
    <font>
      <b/>
      <sz val="11.5"/>
      <name val="Calibri"/>
      <family val="2"/>
      <scheme val="minor"/>
    </font>
    <font>
      <b/>
      <sz val="11"/>
      <color rgb="FF00B0F0"/>
      <name val="Calibri"/>
      <family val="2"/>
      <scheme val="minor"/>
    </font>
    <font>
      <b/>
      <sz val="10"/>
      <color indexed="81"/>
      <name val="Tahoma"/>
      <family val="2"/>
    </font>
    <font>
      <sz val="8.5"/>
      <name val="Calibri"/>
      <family val="2"/>
      <scheme val="minor"/>
    </font>
    <font>
      <sz val="8.5"/>
      <name val="Arial"/>
      <family val="2"/>
    </font>
    <font>
      <b/>
      <sz val="8.5"/>
      <name val="Calibri"/>
      <family val="2"/>
      <scheme val="minor"/>
    </font>
    <font>
      <sz val="7"/>
      <color rgb="FF009900"/>
      <name val="Calibri"/>
      <family val="2"/>
      <scheme val="minor"/>
    </font>
    <font>
      <sz val="11"/>
      <name val="Calibri"/>
      <family val="2"/>
      <scheme val="minor"/>
    </font>
    <font>
      <b/>
      <sz val="12"/>
      <name val="Calibri"/>
      <family val="2"/>
    </font>
    <font>
      <b/>
      <sz val="11"/>
      <color indexed="81"/>
      <name val="Tahoma"/>
      <family val="2"/>
    </font>
    <font>
      <sz val="9"/>
      <name val="Arial"/>
      <family val="2"/>
    </font>
    <font>
      <sz val="10"/>
      <color rgb="FF00B050"/>
      <name val="Arial"/>
      <family val="2"/>
    </font>
    <font>
      <sz val="11"/>
      <color indexed="81"/>
      <name val="Tahoma"/>
      <family val="2"/>
    </font>
    <font>
      <b/>
      <sz val="8"/>
      <color rgb="FFFF9900"/>
      <name val="Calibri"/>
      <family val="2"/>
      <scheme val="minor"/>
    </font>
    <font>
      <b/>
      <sz val="12"/>
      <color rgb="FF996633"/>
      <name val="Calibri"/>
      <family val="2"/>
      <scheme val="minor"/>
    </font>
    <font>
      <b/>
      <sz val="12"/>
      <color theme="9" tint="-0.499984740745262"/>
      <name val="Calibri"/>
      <family val="2"/>
      <scheme val="minor"/>
    </font>
    <font>
      <sz val="12"/>
      <color theme="1"/>
      <name val="Calibri"/>
      <family val="2"/>
      <scheme val="minor"/>
    </font>
    <font>
      <b/>
      <sz val="12"/>
      <color theme="3" tint="-0.249977111117893"/>
      <name val="Calibri"/>
      <family val="2"/>
      <scheme val="minor"/>
    </font>
    <font>
      <b/>
      <sz val="9"/>
      <color theme="3" tint="-0.249977111117893"/>
      <name val="Calibri"/>
      <family val="2"/>
      <scheme val="minor"/>
    </font>
    <font>
      <b/>
      <sz val="8"/>
      <color theme="3" tint="-0.249977111117893"/>
      <name val="Calibri"/>
      <family val="2"/>
      <scheme val="minor"/>
    </font>
    <font>
      <b/>
      <sz val="14"/>
      <color rgb="FFFF0000"/>
      <name val="Calibri"/>
      <family val="2"/>
      <scheme val="minor"/>
    </font>
    <font>
      <b/>
      <sz val="8"/>
      <color rgb="FF7030A0"/>
      <name val="Calibri"/>
      <family val="2"/>
      <scheme val="minor"/>
    </font>
    <font>
      <b/>
      <sz val="12"/>
      <color rgb="FF0070C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4.9989318521683403E-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3">
    <xf numFmtId="0" fontId="0" fillId="0" borderId="0"/>
    <xf numFmtId="0" fontId="42" fillId="4" borderId="0" applyNumberFormat="0" applyBorder="0" applyAlignment="0" applyProtection="0"/>
    <xf numFmtId="0" fontId="43" fillId="5" borderId="0" applyNumberFormat="0" applyBorder="0" applyAlignment="0" applyProtection="0"/>
  </cellStyleXfs>
  <cellXfs count="287">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left"/>
    </xf>
    <xf numFmtId="0" fontId="7" fillId="0" borderId="0" xfId="0" applyFont="1"/>
    <xf numFmtId="0" fontId="6" fillId="0" borderId="0" xfId="0" applyFont="1"/>
    <xf numFmtId="0" fontId="3" fillId="0" borderId="11" xfId="0" applyFont="1" applyBorder="1" applyAlignment="1">
      <alignment horizontal="center"/>
    </xf>
    <xf numFmtId="0" fontId="8" fillId="0" borderId="0" xfId="0" applyFont="1"/>
    <xf numFmtId="0" fontId="8" fillId="0" borderId="0" xfId="0" applyFont="1" applyAlignment="1">
      <alignment horizontal="left"/>
    </xf>
    <xf numFmtId="0" fontId="10" fillId="0" borderId="8" xfId="0" applyFont="1" applyBorder="1" applyAlignment="1">
      <alignment horizontal="center" vertical="center" wrapText="1"/>
    </xf>
    <xf numFmtId="0" fontId="8" fillId="0" borderId="0" xfId="0" applyFont="1" applyAlignment="1">
      <alignment horizontal="center"/>
    </xf>
    <xf numFmtId="0" fontId="3" fillId="0" borderId="7" xfId="0" applyFont="1" applyBorder="1" applyAlignment="1">
      <alignment horizontal="center" vertical="center" wrapText="1"/>
    </xf>
    <xf numFmtId="0" fontId="12" fillId="0" borderId="5" xfId="0" applyFont="1" applyBorder="1" applyAlignment="1">
      <alignment horizontal="center"/>
    </xf>
    <xf numFmtId="0" fontId="13" fillId="0" borderId="0" xfId="0" applyFont="1"/>
    <xf numFmtId="0" fontId="3" fillId="0" borderId="7" xfId="0" applyFont="1" applyBorder="1" applyAlignment="1">
      <alignment horizontal="center" wrapText="1"/>
    </xf>
    <xf numFmtId="0" fontId="3" fillId="0" borderId="7" xfId="0" applyFont="1" applyBorder="1" applyAlignment="1">
      <alignment horizontal="center"/>
    </xf>
    <xf numFmtId="0" fontId="10" fillId="0" borderId="9" xfId="0" applyFont="1" applyBorder="1" applyAlignment="1">
      <alignment horizontal="center" vertical="center" wrapText="1"/>
    </xf>
    <xf numFmtId="0" fontId="3" fillId="0" borderId="10" xfId="0" applyFont="1" applyBorder="1" applyAlignment="1">
      <alignment horizontal="center"/>
    </xf>
    <xf numFmtId="0" fontId="18" fillId="0" borderId="0" xfId="0" applyFont="1" applyAlignment="1">
      <alignment horizontal="left"/>
    </xf>
    <xf numFmtId="0" fontId="18" fillId="0" borderId="0" xfId="0" applyFont="1"/>
    <xf numFmtId="0" fontId="9" fillId="0" borderId="0" xfId="0" applyFont="1" applyAlignment="1">
      <alignment horizontal="left"/>
    </xf>
    <xf numFmtId="0" fontId="6" fillId="0" borderId="0" xfId="0" applyFont="1" applyAlignment="1">
      <alignment horizontal="left"/>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25" fillId="0" borderId="0" xfId="0" applyFont="1"/>
    <xf numFmtId="0" fontId="12" fillId="0" borderId="1" xfId="0" applyFont="1" applyBorder="1" applyAlignment="1">
      <alignment horizont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2" fillId="0" borderId="0" xfId="0" applyFont="1" applyProtection="1">
      <protection hidden="1"/>
    </xf>
    <xf numFmtId="0" fontId="0" fillId="0" borderId="0" xfId="0" applyProtection="1">
      <protection hidden="1"/>
    </xf>
    <xf numFmtId="0" fontId="2" fillId="0" borderId="0" xfId="0" applyFont="1" applyAlignment="1" applyProtection="1">
      <alignment horizontal="right"/>
      <protection hidden="1"/>
    </xf>
    <xf numFmtId="0" fontId="12" fillId="0" borderId="5" xfId="0" applyFont="1" applyBorder="1" applyAlignment="1">
      <alignment horizontal="center" vertical="center"/>
    </xf>
    <xf numFmtId="0" fontId="9" fillId="0" borderId="1" xfId="0" applyFont="1" applyBorder="1" applyAlignment="1">
      <alignment horizontal="center" vertical="center"/>
    </xf>
    <xf numFmtId="0" fontId="29" fillId="0" borderId="1" xfId="0" applyFont="1" applyBorder="1" applyAlignment="1">
      <alignment horizontal="center" vertical="center"/>
    </xf>
    <xf numFmtId="0" fontId="12" fillId="0" borderId="21" xfId="0" applyFont="1" applyBorder="1" applyAlignment="1">
      <alignment horizontal="center" vertical="center"/>
    </xf>
    <xf numFmtId="0" fontId="32" fillId="0" borderId="0" xfId="0" applyFont="1"/>
    <xf numFmtId="0" fontId="21" fillId="0" borderId="0" xfId="0" applyFont="1"/>
    <xf numFmtId="165" fontId="3" fillId="0" borderId="0" xfId="0" applyNumberFormat="1" applyFont="1"/>
    <xf numFmtId="0" fontId="34" fillId="0" borderId="0" xfId="0" applyFont="1" applyAlignment="1">
      <alignment horizontal="center"/>
    </xf>
    <xf numFmtId="0" fontId="31" fillId="0" borderId="0" xfId="0" applyFont="1" applyAlignment="1">
      <alignment horizontal="center"/>
    </xf>
    <xf numFmtId="0" fontId="31" fillId="0" borderId="0" xfId="0" applyFont="1"/>
    <xf numFmtId="0" fontId="34" fillId="0" borderId="0" xfId="0" applyFont="1"/>
    <xf numFmtId="0" fontId="4" fillId="0" borderId="0" xfId="0" applyFont="1" applyAlignment="1">
      <alignment horizontal="center"/>
    </xf>
    <xf numFmtId="0" fontId="12" fillId="0" borderId="3"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center"/>
    </xf>
    <xf numFmtId="0" fontId="35" fillId="0" borderId="0" xfId="0" applyFont="1" applyAlignment="1">
      <alignment horizontal="center" vertical="center" wrapText="1"/>
    </xf>
    <xf numFmtId="0" fontId="36" fillId="0" borderId="32" xfId="0" applyFont="1" applyBorder="1" applyAlignment="1">
      <alignment horizontal="center"/>
    </xf>
    <xf numFmtId="0" fontId="37" fillId="0" borderId="32" xfId="0" applyFont="1" applyBorder="1" applyAlignment="1">
      <alignment horizontal="center" wrapText="1"/>
    </xf>
    <xf numFmtId="0" fontId="38" fillId="0" borderId="32" xfId="0" applyFont="1" applyBorder="1" applyAlignment="1">
      <alignment horizontal="center" wrapText="1"/>
    </xf>
    <xf numFmtId="0" fontId="36" fillId="0" borderId="2" xfId="0" applyFont="1" applyBorder="1" applyAlignment="1">
      <alignment horizontal="center"/>
    </xf>
    <xf numFmtId="0" fontId="38" fillId="0" borderId="23" xfId="0" applyFont="1" applyBorder="1" applyAlignment="1">
      <alignment horizontal="center" wrapText="1"/>
    </xf>
    <xf numFmtId="0" fontId="3" fillId="3" borderId="7" xfId="0" applyFont="1" applyFill="1" applyBorder="1" applyAlignment="1" applyProtection="1">
      <alignment horizontal="center" wrapText="1"/>
      <protection locked="0"/>
    </xf>
    <xf numFmtId="0" fontId="3" fillId="3" borderId="7" xfId="0" applyFont="1" applyFill="1" applyBorder="1" applyAlignment="1" applyProtection="1">
      <alignment horizontal="center" vertical="center" wrapText="1"/>
      <protection locked="0"/>
    </xf>
    <xf numFmtId="0" fontId="10" fillId="0" borderId="4" xfId="0" applyFont="1" applyBorder="1" applyAlignment="1">
      <alignment horizontal="center"/>
    </xf>
    <xf numFmtId="0" fontId="38" fillId="0" borderId="16" xfId="0" applyFont="1" applyBorder="1" applyAlignment="1">
      <alignment horizontal="center"/>
    </xf>
    <xf numFmtId="0" fontId="10" fillId="0" borderId="12" xfId="0" applyFont="1" applyBorder="1" applyAlignment="1">
      <alignment horizontal="center"/>
    </xf>
    <xf numFmtId="0" fontId="3" fillId="0" borderId="19" xfId="0" applyFont="1" applyBorder="1"/>
    <xf numFmtId="0" fontId="13" fillId="0" borderId="8" xfId="0" applyFont="1" applyBorder="1" applyAlignment="1">
      <alignment horizontal="center" vertical="center" wrapText="1"/>
    </xf>
    <xf numFmtId="0" fontId="15" fillId="0" borderId="33" xfId="0" applyFont="1" applyBorder="1" applyAlignment="1">
      <alignment horizontal="center" vertical="center"/>
    </xf>
    <xf numFmtId="0" fontId="36" fillId="0" borderId="34" xfId="0" applyFont="1" applyBorder="1" applyAlignment="1">
      <alignment horizontal="center"/>
    </xf>
    <xf numFmtId="0" fontId="14" fillId="0" borderId="35" xfId="0" applyFont="1" applyBorder="1" applyAlignment="1">
      <alignment horizontal="center" vertical="center"/>
    </xf>
    <xf numFmtId="0" fontId="39" fillId="0" borderId="6" xfId="0" applyFont="1" applyBorder="1" applyAlignment="1">
      <alignment horizontal="center" vertical="center"/>
    </xf>
    <xf numFmtId="0" fontId="45" fillId="0" borderId="35" xfId="0" applyFont="1" applyBorder="1" applyAlignment="1">
      <alignment horizontal="center" vertical="center" wrapText="1"/>
    </xf>
    <xf numFmtId="0" fontId="46" fillId="0" borderId="34" xfId="0" applyFont="1" applyBorder="1" applyAlignment="1">
      <alignment horizontal="center"/>
    </xf>
    <xf numFmtId="0" fontId="44" fillId="0" borderId="33" xfId="0" applyFont="1" applyBorder="1" applyAlignment="1">
      <alignment horizontal="center" vertical="center" wrapText="1"/>
    </xf>
    <xf numFmtId="0" fontId="46" fillId="0" borderId="2" xfId="0" applyFont="1" applyBorder="1" applyAlignment="1">
      <alignment horizontal="center" wrapText="1"/>
    </xf>
    <xf numFmtId="0" fontId="47" fillId="0" borderId="0" xfId="0" applyFont="1"/>
    <xf numFmtId="0" fontId="48" fillId="0" borderId="0" xfId="0" applyFont="1"/>
    <xf numFmtId="0" fontId="11" fillId="0" borderId="0" xfId="0" applyFont="1"/>
    <xf numFmtId="14" fontId="10" fillId="0" borderId="0" xfId="0" applyNumberFormat="1" applyFont="1"/>
    <xf numFmtId="0" fontId="10" fillId="6" borderId="8" xfId="0" applyFont="1" applyFill="1" applyBorder="1" applyAlignment="1">
      <alignment horizontal="center" vertical="center" wrapText="1"/>
    </xf>
    <xf numFmtId="0" fontId="3" fillId="6" borderId="7" xfId="0" applyFont="1" applyFill="1" applyBorder="1" applyAlignment="1">
      <alignment horizontal="center" wrapText="1"/>
    </xf>
    <xf numFmtId="0" fontId="3" fillId="6" borderId="7" xfId="0" applyFont="1" applyFill="1" applyBorder="1" applyAlignment="1">
      <alignment horizontal="center"/>
    </xf>
    <xf numFmtId="0" fontId="10" fillId="6" borderId="28" xfId="0" applyFont="1" applyFill="1" applyBorder="1" applyAlignment="1">
      <alignment horizontal="center" vertical="center" wrapText="1"/>
    </xf>
    <xf numFmtId="0" fontId="49" fillId="0" borderId="0" xfId="0" applyFont="1"/>
    <xf numFmtId="0" fontId="54" fillId="0" borderId="21" xfId="0" applyFont="1" applyBorder="1" applyAlignment="1">
      <alignment horizontal="center" vertical="center"/>
    </xf>
    <xf numFmtId="0" fontId="55" fillId="0" borderId="0" xfId="0" applyFont="1"/>
    <xf numFmtId="2" fontId="55" fillId="0" borderId="0" xfId="0" applyNumberFormat="1" applyFont="1"/>
    <xf numFmtId="0" fontId="10" fillId="7" borderId="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56" fillId="7" borderId="14" xfId="0" applyFont="1" applyFill="1" applyBorder="1" applyAlignment="1">
      <alignment horizontal="center"/>
    </xf>
    <xf numFmtId="0" fontId="56" fillId="7" borderId="19" xfId="0" applyFont="1" applyFill="1" applyBorder="1" applyAlignment="1">
      <alignment horizontal="center"/>
    </xf>
    <xf numFmtId="0" fontId="17" fillId="0" borderId="0" xfId="0" applyFont="1" applyAlignment="1">
      <alignment horizontal="left"/>
    </xf>
    <xf numFmtId="0" fontId="12" fillId="0" borderId="1" xfId="0" applyFont="1" applyBorder="1" applyAlignment="1">
      <alignment horizontal="center" wrapText="1"/>
    </xf>
    <xf numFmtId="0" fontId="62" fillId="0" borderId="0" xfId="0" applyFont="1" applyAlignment="1">
      <alignment horizontal="left"/>
    </xf>
    <xf numFmtId="0" fontId="19" fillId="0" borderId="0" xfId="0" applyFont="1" applyAlignment="1">
      <alignment horizontal="left"/>
    </xf>
    <xf numFmtId="0" fontId="0" fillId="0" borderId="0" xfId="0" applyAlignment="1">
      <alignment horizontal="right"/>
    </xf>
    <xf numFmtId="0" fontId="30" fillId="0" borderId="15" xfId="0" applyFont="1" applyBorder="1"/>
    <xf numFmtId="0" fontId="29" fillId="0" borderId="0" xfId="0" applyFont="1" applyAlignment="1">
      <alignment horizontal="left"/>
    </xf>
    <xf numFmtId="0" fontId="29" fillId="0" borderId="0" xfId="0" applyFont="1"/>
    <xf numFmtId="0" fontId="4" fillId="0" borderId="0" xfId="0" applyFont="1" applyAlignment="1">
      <alignment horizontal="left"/>
    </xf>
    <xf numFmtId="0" fontId="4" fillId="0" borderId="0" xfId="0" applyFont="1"/>
    <xf numFmtId="0" fontId="17" fillId="0" borderId="0" xfId="0" applyFont="1"/>
    <xf numFmtId="0" fontId="24" fillId="0" borderId="15" xfId="0" applyFont="1" applyBorder="1"/>
    <xf numFmtId="0" fontId="12" fillId="0" borderId="3" xfId="0" applyFont="1" applyBorder="1" applyAlignment="1">
      <alignment horizontal="center" vertical="center"/>
    </xf>
    <xf numFmtId="0" fontId="44" fillId="0" borderId="3" xfId="0" applyFont="1" applyBorder="1" applyAlignment="1">
      <alignment horizontal="center" vertical="center" wrapText="1"/>
    </xf>
    <xf numFmtId="0" fontId="46" fillId="0" borderId="16" xfId="0" applyFont="1" applyBorder="1" applyAlignment="1">
      <alignment horizontal="center"/>
    </xf>
    <xf numFmtId="0" fontId="45" fillId="0" borderId="15" xfId="0" applyFont="1" applyBorder="1" applyAlignment="1">
      <alignment horizontal="center" vertical="center" wrapText="1"/>
    </xf>
    <xf numFmtId="0" fontId="38" fillId="0" borderId="2" xfId="0" applyFont="1" applyBorder="1" applyAlignment="1">
      <alignment horizontal="center" wrapText="1"/>
    </xf>
    <xf numFmtId="0" fontId="39" fillId="0" borderId="33" xfId="0" applyFont="1" applyBorder="1" applyAlignment="1">
      <alignment horizontal="center" vertical="center"/>
    </xf>
    <xf numFmtId="0" fontId="38" fillId="0" borderId="34" xfId="0" applyFont="1" applyBorder="1" applyAlignment="1">
      <alignment horizontal="center"/>
    </xf>
    <xf numFmtId="0" fontId="35" fillId="0" borderId="35" xfId="0" applyFont="1" applyBorder="1" applyAlignment="1">
      <alignment horizontal="center" vertical="center" wrapText="1"/>
    </xf>
    <xf numFmtId="0" fontId="10" fillId="9" borderId="8" xfId="0" applyFont="1" applyFill="1" applyBorder="1" applyAlignment="1">
      <alignment horizontal="center" vertical="center" wrapText="1"/>
    </xf>
    <xf numFmtId="0" fontId="3" fillId="9" borderId="7" xfId="0" applyFont="1" applyFill="1" applyBorder="1" applyAlignment="1">
      <alignment horizontal="center" wrapText="1"/>
    </xf>
    <xf numFmtId="0" fontId="3" fillId="9" borderId="7" xfId="0" applyFont="1" applyFill="1" applyBorder="1" applyAlignment="1">
      <alignment horizontal="center"/>
    </xf>
    <xf numFmtId="0" fontId="16" fillId="0" borderId="0" xfId="0" applyFont="1" applyAlignment="1">
      <alignment horizontal="center" vertical="center" wrapText="1"/>
    </xf>
    <xf numFmtId="0" fontId="64" fillId="0" borderId="11" xfId="0" applyFont="1" applyBorder="1" applyAlignment="1">
      <alignment horizontal="center"/>
    </xf>
    <xf numFmtId="0" fontId="20" fillId="0" borderId="0" xfId="0" applyFont="1" applyAlignment="1">
      <alignment horizontal="left"/>
    </xf>
    <xf numFmtId="0" fontId="21" fillId="0" borderId="0" xfId="0" applyFont="1" applyAlignment="1">
      <alignment horizontal="center"/>
    </xf>
    <xf numFmtId="164" fontId="22" fillId="0" borderId="0" xfId="0" applyNumberFormat="1" applyFont="1" applyAlignment="1">
      <alignment horizontal="center"/>
    </xf>
    <xf numFmtId="0" fontId="22" fillId="0" borderId="0" xfId="0" applyFont="1" applyAlignment="1">
      <alignment horizontal="left"/>
    </xf>
    <xf numFmtId="0" fontId="65" fillId="0" borderId="3" xfId="0" applyFont="1" applyBorder="1" applyAlignment="1">
      <alignment horizontal="center" vertical="center"/>
    </xf>
    <xf numFmtId="0" fontId="66" fillId="0" borderId="16" xfId="0" applyFont="1" applyBorder="1" applyAlignment="1">
      <alignment horizontal="center"/>
    </xf>
    <xf numFmtId="0" fontId="67" fillId="0" borderId="15" xfId="0" applyFont="1" applyBorder="1" applyAlignment="1">
      <alignment horizontal="center" vertical="center"/>
    </xf>
    <xf numFmtId="0" fontId="66" fillId="0" borderId="2" xfId="0" applyFont="1" applyBorder="1" applyAlignment="1">
      <alignment horizontal="center"/>
    </xf>
    <xf numFmtId="0" fontId="66" fillId="0" borderId="32" xfId="0" applyFont="1" applyBorder="1" applyAlignment="1">
      <alignment horizontal="center"/>
    </xf>
    <xf numFmtId="0" fontId="66" fillId="0" borderId="37" xfId="0" applyFont="1" applyBorder="1" applyAlignment="1">
      <alignment horizontal="center"/>
    </xf>
    <xf numFmtId="0" fontId="67" fillId="0" borderId="38" xfId="0" applyFont="1" applyBorder="1" applyAlignment="1">
      <alignment horizontal="center" vertical="center"/>
    </xf>
    <xf numFmtId="0" fontId="3" fillId="0" borderId="0" xfId="0" applyFont="1" applyAlignment="1">
      <alignment horizontal="center"/>
    </xf>
    <xf numFmtId="0" fontId="33" fillId="0" borderId="0" xfId="0" applyFont="1" applyAlignment="1">
      <alignment horizontal="right"/>
    </xf>
    <xf numFmtId="0" fontId="7" fillId="0" borderId="0" xfId="0" applyFont="1" applyAlignment="1">
      <alignment horizontal="center"/>
    </xf>
    <xf numFmtId="0" fontId="68" fillId="0" borderId="0" xfId="0" applyFont="1"/>
    <xf numFmtId="0" fontId="3" fillId="11" borderId="0" xfId="0" applyFont="1" applyFill="1" applyAlignment="1">
      <alignment horizontal="left"/>
    </xf>
    <xf numFmtId="0" fontId="3" fillId="11" borderId="0" xfId="0" applyFont="1" applyFill="1"/>
    <xf numFmtId="0" fontId="3" fillId="10" borderId="0" xfId="0" applyFont="1" applyFill="1" applyAlignment="1">
      <alignment wrapText="1"/>
    </xf>
    <xf numFmtId="0" fontId="0" fillId="0" borderId="0" xfId="0" applyAlignment="1">
      <alignment wrapText="1"/>
    </xf>
    <xf numFmtId="0" fontId="3" fillId="0" borderId="0" xfId="0" applyFont="1"/>
    <xf numFmtId="0" fontId="11" fillId="10" borderId="5" xfId="0" applyFont="1" applyFill="1" applyBorder="1" applyAlignment="1" applyProtection="1">
      <alignment horizontal="center" vertical="center" wrapText="1"/>
      <protection locked="0"/>
    </xf>
    <xf numFmtId="0" fontId="11" fillId="10" borderId="6" xfId="0" applyFont="1" applyFill="1" applyBorder="1" applyAlignment="1" applyProtection="1">
      <alignment horizontal="center" vertical="center" wrapText="1"/>
      <protection locked="0"/>
    </xf>
    <xf numFmtId="0" fontId="11" fillId="10" borderId="5" xfId="0" applyFont="1" applyFill="1" applyBorder="1" applyAlignment="1" applyProtection="1">
      <alignment horizontal="center" vertical="center"/>
      <protection locked="0"/>
    </xf>
    <xf numFmtId="0" fontId="11" fillId="10" borderId="6" xfId="0" applyFont="1" applyFill="1" applyBorder="1" applyAlignment="1" applyProtection="1">
      <alignment horizontal="center" vertical="center"/>
      <protection locked="0"/>
    </xf>
    <xf numFmtId="0" fontId="3" fillId="0" borderId="0" xfId="0" applyFont="1" applyAlignment="1">
      <alignment horizontal="center"/>
    </xf>
    <xf numFmtId="0" fontId="3" fillId="8" borderId="0" xfId="0" applyFont="1" applyFill="1" applyAlignment="1">
      <alignment horizontal="right"/>
    </xf>
    <xf numFmtId="0" fontId="3" fillId="0" borderId="0" xfId="0" applyFont="1" applyAlignment="1">
      <alignment horizontal="center" wrapText="1"/>
    </xf>
    <xf numFmtId="0" fontId="0" fillId="0" borderId="0" xfId="0" applyAlignment="1">
      <alignment horizontal="center" wrapText="1"/>
    </xf>
    <xf numFmtId="0" fontId="33" fillId="0" borderId="0" xfId="0" applyFont="1" applyAlignment="1">
      <alignment horizontal="right"/>
    </xf>
    <xf numFmtId="0" fontId="6" fillId="0" borderId="20" xfId="0" applyFont="1" applyBorder="1" applyAlignment="1">
      <alignment horizontal="left"/>
    </xf>
    <xf numFmtId="0" fontId="3" fillId="6" borderId="11" xfId="0" applyFont="1" applyFill="1" applyBorder="1" applyAlignment="1" applyProtection="1">
      <alignment horizontal="left"/>
      <protection locked="0"/>
    </xf>
    <xf numFmtId="0" fontId="21" fillId="6" borderId="11" xfId="0" applyFont="1" applyFill="1" applyBorder="1" applyAlignment="1" applyProtection="1">
      <alignment horizontal="left"/>
      <protection locked="0"/>
    </xf>
    <xf numFmtId="0" fontId="3" fillId="0" borderId="0" xfId="0" applyFont="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2" fillId="0" borderId="4" xfId="0" applyFont="1" applyBorder="1" applyAlignment="1">
      <alignment horizontal="center"/>
    </xf>
    <xf numFmtId="0" fontId="12" fillId="0" borderId="19" xfId="0" applyFont="1" applyBorder="1" applyAlignment="1">
      <alignment horizontal="center"/>
    </xf>
    <xf numFmtId="0" fontId="12" fillId="0" borderId="23" xfId="0" applyFont="1" applyBorder="1" applyAlignment="1">
      <alignment horizontal="center"/>
    </xf>
    <xf numFmtId="0" fontId="12" fillId="0" borderId="14" xfId="0" applyFont="1" applyBorder="1" applyAlignment="1">
      <alignment horizontal="center"/>
    </xf>
    <xf numFmtId="0" fontId="3" fillId="0" borderId="28" xfId="0" applyFont="1" applyBorder="1" applyAlignment="1">
      <alignment horizontal="center" wrapText="1"/>
    </xf>
    <xf numFmtId="0" fontId="3" fillId="0" borderId="7" xfId="0" applyFont="1" applyBorder="1" applyAlignment="1">
      <alignment horizontal="center" wrapText="1"/>
    </xf>
    <xf numFmtId="0" fontId="3" fillId="0" borderId="24" xfId="0" applyFont="1" applyBorder="1" applyAlignment="1">
      <alignment horizontal="center"/>
    </xf>
    <xf numFmtId="0" fontId="3" fillId="0" borderId="25" xfId="0" applyFont="1" applyBorder="1" applyAlignment="1">
      <alignment horizontal="center"/>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12" fillId="0" borderId="18" xfId="0" applyFont="1" applyBorder="1" applyAlignment="1">
      <alignment horizontal="center"/>
    </xf>
    <xf numFmtId="0" fontId="12" fillId="0" borderId="31"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3" fillId="0" borderId="16" xfId="0" applyFont="1" applyBorder="1" applyAlignment="1">
      <alignment horizontal="center"/>
    </xf>
    <xf numFmtId="0" fontId="16" fillId="0" borderId="2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2" fillId="0" borderId="21" xfId="0" applyFont="1" applyBorder="1" applyAlignment="1">
      <alignment horizontal="center"/>
    </xf>
    <xf numFmtId="0" fontId="12" fillId="0" borderId="22" xfId="0" applyFont="1"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0" borderId="18" xfId="0" applyFont="1" applyBorder="1" applyAlignment="1">
      <alignment horizontal="center" vertical="center" wrapText="1"/>
    </xf>
    <xf numFmtId="0" fontId="0" fillId="0" borderId="31" xfId="0"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1" fillId="0" borderId="3" xfId="0" applyFont="1" applyBorder="1" applyAlignment="1" applyProtection="1">
      <alignment horizontal="center" vertical="center"/>
      <protection locked="0"/>
    </xf>
    <xf numFmtId="0" fontId="17" fillId="0" borderId="5" xfId="0" applyFont="1" applyBorder="1" applyAlignment="1">
      <alignment horizontal="center" vertical="center"/>
    </xf>
    <xf numFmtId="0" fontId="59" fillId="0" borderId="6" xfId="0" applyFont="1" applyBorder="1" applyAlignment="1">
      <alignment horizontal="center" vertical="center"/>
    </xf>
    <xf numFmtId="0" fontId="3" fillId="0" borderId="4" xfId="0" applyFont="1" applyBorder="1" applyAlignment="1">
      <alignment horizontal="center"/>
    </xf>
    <xf numFmtId="0" fontId="3" fillId="0" borderId="19" xfId="0" applyFont="1" applyBorder="1" applyAlignment="1">
      <alignment horizontal="center"/>
    </xf>
    <xf numFmtId="0" fontId="3" fillId="0" borderId="23" xfId="0" applyFont="1" applyBorder="1" applyAlignment="1">
      <alignment horizontal="center"/>
    </xf>
    <xf numFmtId="0" fontId="3" fillId="0" borderId="14" xfId="0" applyFont="1" applyBorder="1" applyAlignment="1">
      <alignment horizont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42" fillId="0" borderId="13" xfId="1" applyFill="1" applyBorder="1" applyAlignment="1">
      <alignment horizontal="center" vertical="center" wrapText="1"/>
    </xf>
    <xf numFmtId="0" fontId="42" fillId="0" borderId="17" xfId="1" applyFill="1" applyBorder="1" applyAlignment="1">
      <alignment horizontal="center" vertical="center" wrapText="1"/>
    </xf>
    <xf numFmtId="0" fontId="14" fillId="0" borderId="4" xfId="0" applyFont="1" applyBorder="1" applyAlignment="1">
      <alignment horizontal="center" vertical="center" wrapText="1"/>
    </xf>
    <xf numFmtId="0" fontId="0" fillId="0" borderId="19" xfId="0" applyBorder="1" applyAlignment="1">
      <alignment horizontal="center" vertical="center" wrapText="1"/>
    </xf>
    <xf numFmtId="0" fontId="3" fillId="0" borderId="4" xfId="0" applyFont="1" applyBorder="1" applyAlignment="1">
      <alignment horizontal="center" wrapText="1"/>
    </xf>
    <xf numFmtId="0" fontId="3" fillId="0" borderId="19" xfId="0" applyFont="1" applyBorder="1" applyAlignment="1">
      <alignment horizontal="center" wrapText="1"/>
    </xf>
    <xf numFmtId="0" fontId="3" fillId="0" borderId="23" xfId="0" applyFont="1" applyBorder="1" applyAlignment="1">
      <alignment horizontal="center" wrapText="1"/>
    </xf>
    <xf numFmtId="0" fontId="3" fillId="0" borderId="14" xfId="0" applyFont="1" applyBorder="1" applyAlignment="1">
      <alignment horizontal="center" wrapText="1"/>
    </xf>
    <xf numFmtId="0" fontId="70" fillId="0" borderId="13" xfId="2" applyFont="1" applyFill="1" applyBorder="1" applyAlignment="1">
      <alignment horizontal="center" vertical="center" wrapText="1"/>
    </xf>
    <xf numFmtId="0" fontId="70" fillId="0" borderId="17" xfId="2" applyFont="1" applyFill="1" applyBorder="1" applyAlignment="1">
      <alignment horizontal="center" vertical="center" wrapText="1"/>
    </xf>
    <xf numFmtId="0" fontId="37" fillId="2" borderId="5" xfId="0" applyFont="1" applyFill="1" applyBorder="1" applyAlignment="1">
      <alignment horizontal="center" vertical="center" wrapText="1"/>
    </xf>
    <xf numFmtId="0" fontId="58" fillId="2" borderId="3" xfId="0" applyFont="1" applyFill="1" applyBorder="1" applyAlignment="1">
      <alignment horizontal="center" vertical="center"/>
    </xf>
    <xf numFmtId="0" fontId="58" fillId="2" borderId="6" xfId="0" applyFont="1" applyFill="1" applyBorder="1" applyAlignment="1">
      <alignment horizontal="center" vertical="center"/>
    </xf>
    <xf numFmtId="0" fontId="41" fillId="0" borderId="4" xfId="0" applyFont="1" applyBorder="1" applyAlignment="1">
      <alignment horizontal="center"/>
    </xf>
    <xf numFmtId="0" fontId="41" fillId="0" borderId="19" xfId="0" applyFont="1" applyBorder="1" applyAlignment="1">
      <alignment horizontal="center"/>
    </xf>
    <xf numFmtId="0" fontId="41" fillId="0" borderId="23" xfId="0" applyFont="1" applyBorder="1" applyAlignment="1">
      <alignment horizontal="center"/>
    </xf>
    <xf numFmtId="0" fontId="41" fillId="0" borderId="14" xfId="0" applyFont="1" applyBorder="1" applyAlignment="1">
      <alignment horizontal="center"/>
    </xf>
    <xf numFmtId="0" fontId="3" fillId="7" borderId="13" xfId="0" applyFont="1" applyFill="1" applyBorder="1" applyAlignment="1">
      <alignment horizontal="center"/>
    </xf>
    <xf numFmtId="0" fontId="0" fillId="7" borderId="17" xfId="0" applyFill="1" applyBorder="1" applyAlignment="1">
      <alignment horizontal="center"/>
    </xf>
    <xf numFmtId="0" fontId="9" fillId="0" borderId="5" xfId="0" applyFont="1" applyBorder="1" applyAlignment="1">
      <alignment horizontal="center" vertical="center"/>
    </xf>
    <xf numFmtId="0" fontId="0" fillId="0" borderId="6" xfId="0" applyBorder="1" applyAlignment="1">
      <alignment horizontal="center" vertical="center"/>
    </xf>
    <xf numFmtId="0" fontId="3" fillId="0" borderId="9" xfId="0" applyFont="1" applyBorder="1" applyAlignment="1">
      <alignment horizontal="center" wrapText="1"/>
    </xf>
    <xf numFmtId="0" fontId="3" fillId="0" borderId="36" xfId="0" applyFont="1" applyBorder="1" applyAlignment="1">
      <alignment horizontal="center" wrapText="1"/>
    </xf>
    <xf numFmtId="0" fontId="3" fillId="0" borderId="15" xfId="0" applyFont="1" applyBorder="1" applyAlignment="1">
      <alignment horizontal="center" wrapText="1"/>
    </xf>
    <xf numFmtId="0" fontId="3" fillId="0" borderId="10" xfId="0" applyFont="1" applyBorder="1" applyAlignment="1">
      <alignment horizont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19" xfId="0" applyFont="1" applyBorder="1" applyAlignment="1">
      <alignment horizontal="center"/>
    </xf>
    <xf numFmtId="0" fontId="9" fillId="0" borderId="14" xfId="0" applyFont="1" applyBorder="1" applyAlignment="1">
      <alignment horizontal="center"/>
    </xf>
    <xf numFmtId="0" fontId="36" fillId="0" borderId="23" xfId="0" applyFont="1" applyBorder="1" applyAlignment="1">
      <alignment horizontal="center" wrapText="1"/>
    </xf>
    <xf numFmtId="0" fontId="36" fillId="0" borderId="14" xfId="0" applyFont="1" applyBorder="1" applyAlignment="1">
      <alignment horizontal="center" wrapText="1"/>
    </xf>
    <xf numFmtId="0" fontId="10" fillId="0" borderId="4" xfId="0" applyFont="1" applyBorder="1" applyAlignment="1">
      <alignment horizontal="center" wrapText="1"/>
    </xf>
    <xf numFmtId="0" fontId="10" fillId="0" borderId="19" xfId="0" applyFont="1" applyBorder="1" applyAlignment="1">
      <alignment horizontal="center" wrapText="1"/>
    </xf>
    <xf numFmtId="0" fontId="58" fillId="0" borderId="2" xfId="0" applyFont="1" applyBorder="1" applyAlignment="1">
      <alignment horizontal="center" wrapText="1"/>
    </xf>
    <xf numFmtId="0" fontId="58" fillId="0" borderId="15" xfId="0" applyFont="1" applyBorder="1" applyAlignment="1">
      <alignment horizontal="center" wrapText="1"/>
    </xf>
    <xf numFmtId="0" fontId="11" fillId="0" borderId="3" xfId="0" applyFont="1" applyBorder="1" applyAlignment="1" applyProtection="1">
      <alignment horizontal="center" vertical="center" wrapText="1"/>
      <protection locked="0"/>
    </xf>
    <xf numFmtId="0" fontId="5" fillId="0" borderId="0" xfId="0" applyFont="1" applyAlignment="1">
      <alignment horizontal="left"/>
    </xf>
    <xf numFmtId="0" fontId="23" fillId="0" borderId="0" xfId="0" applyFont="1" applyAlignment="1">
      <alignment horizontal="center"/>
    </xf>
    <xf numFmtId="0" fontId="40" fillId="0" borderId="5" xfId="0" applyFont="1" applyBorder="1" applyAlignment="1">
      <alignment horizontal="center"/>
    </xf>
    <xf numFmtId="0" fontId="40" fillId="0" borderId="3" xfId="0" applyFont="1" applyBorder="1" applyAlignment="1">
      <alignment horizontal="center"/>
    </xf>
    <xf numFmtId="0" fontId="40" fillId="0" borderId="6" xfId="0" applyFont="1" applyBorder="1" applyAlignment="1">
      <alignment horizontal="center"/>
    </xf>
    <xf numFmtId="0" fontId="17" fillId="0" borderId="4" xfId="0" applyFont="1" applyBorder="1" applyAlignment="1">
      <alignment horizontal="center"/>
    </xf>
    <xf numFmtId="0" fontId="17" fillId="0" borderId="19" xfId="0" applyFont="1" applyBorder="1" applyAlignment="1">
      <alignment horizontal="center"/>
    </xf>
    <xf numFmtId="0" fontId="17" fillId="0" borderId="23" xfId="0" applyFont="1" applyBorder="1" applyAlignment="1">
      <alignment horizontal="center"/>
    </xf>
    <xf numFmtId="0" fontId="17" fillId="0" borderId="14" xfId="0" applyFont="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0" fontId="3" fillId="0" borderId="24" xfId="0" applyFont="1" applyBorder="1" applyAlignment="1">
      <alignment horizontal="center" wrapText="1"/>
    </xf>
    <xf numFmtId="0" fontId="3" fillId="0" borderId="26" xfId="0" applyFont="1" applyBorder="1" applyAlignment="1">
      <alignment horizontal="center" wrapText="1"/>
    </xf>
    <xf numFmtId="0" fontId="3" fillId="0" borderId="25" xfId="0" applyFont="1" applyBorder="1" applyAlignment="1">
      <alignment horizontal="center" wrapText="1"/>
    </xf>
    <xf numFmtId="0" fontId="3" fillId="0" borderId="27" xfId="0" applyFont="1" applyBorder="1" applyAlignment="1">
      <alignment horizontal="center" wrapText="1"/>
    </xf>
    <xf numFmtId="0" fontId="9" fillId="0" borderId="18" xfId="0" applyFont="1" applyBorder="1" applyAlignment="1">
      <alignment horizontal="center" vertical="center"/>
    </xf>
    <xf numFmtId="0" fontId="9"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19" xfId="0" applyFont="1" applyBorder="1" applyAlignment="1">
      <alignment horizontal="center" vertical="center"/>
    </xf>
    <xf numFmtId="0" fontId="3" fillId="0" borderId="3"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horizontal="center"/>
    </xf>
    <xf numFmtId="0" fontId="0" fillId="0" borderId="6" xfId="0" applyBorder="1" applyAlignment="1">
      <alignment horizontal="center"/>
    </xf>
    <xf numFmtId="0" fontId="3" fillId="7" borderId="29" xfId="0" applyFont="1" applyFill="1" applyBorder="1" applyAlignment="1">
      <alignment horizontal="center"/>
    </xf>
    <xf numFmtId="0" fontId="3" fillId="7" borderId="25" xfId="0" applyFont="1" applyFill="1" applyBorder="1" applyAlignment="1">
      <alignment horizontal="center"/>
    </xf>
    <xf numFmtId="0" fontId="3" fillId="7" borderId="24" xfId="0" applyFont="1" applyFill="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51" fillId="2" borderId="5"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2" fillId="0" borderId="6" xfId="0" applyFont="1" applyBorder="1" applyAlignment="1">
      <alignment horizontal="center" vertical="center" wrapText="1"/>
    </xf>
    <xf numFmtId="0" fontId="3" fillId="6" borderId="24" xfId="0" applyFont="1" applyFill="1" applyBorder="1" applyAlignment="1">
      <alignment horizontal="center"/>
    </xf>
    <xf numFmtId="0" fontId="3" fillId="6" borderId="16" xfId="0" applyFont="1" applyFill="1" applyBorder="1" applyAlignment="1">
      <alignment horizontal="center"/>
    </xf>
    <xf numFmtId="0" fontId="3" fillId="6" borderId="25" xfId="0" applyFont="1" applyFill="1" applyBorder="1" applyAlignment="1">
      <alignment horizontal="center"/>
    </xf>
    <xf numFmtId="0" fontId="3" fillId="0" borderId="20" xfId="0" applyFont="1" applyBorder="1" applyAlignment="1">
      <alignment horizontal="center"/>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45" fillId="0" borderId="18" xfId="0" applyFont="1" applyBorder="1" applyAlignment="1">
      <alignment horizontal="center" vertical="center" wrapText="1"/>
    </xf>
    <xf numFmtId="0" fontId="45" fillId="0" borderId="31" xfId="0" applyFont="1" applyBorder="1" applyAlignment="1">
      <alignment horizontal="center" vertical="center" wrapText="1"/>
    </xf>
    <xf numFmtId="0" fontId="69" fillId="0" borderId="18" xfId="0" applyFont="1" applyBorder="1" applyAlignment="1">
      <alignment horizontal="center" vertical="center" wrapText="1"/>
    </xf>
    <xf numFmtId="0" fontId="69" fillId="0" borderId="31" xfId="0" applyFont="1" applyBorder="1" applyAlignment="1">
      <alignment horizontal="center" vertical="center" wrapText="1"/>
    </xf>
    <xf numFmtId="0" fontId="3" fillId="0" borderId="30" xfId="0" applyFont="1" applyBorder="1" applyAlignment="1">
      <alignment horizontal="center" vertical="center"/>
    </xf>
    <xf numFmtId="0" fontId="11" fillId="0" borderId="13" xfId="0" applyFont="1" applyBorder="1" applyAlignment="1">
      <alignment horizontal="center" wrapText="1"/>
    </xf>
    <xf numFmtId="0" fontId="11" fillId="0" borderId="17" xfId="0" applyFont="1" applyBorder="1" applyAlignment="1">
      <alignment horizontal="center" wrapText="1"/>
    </xf>
    <xf numFmtId="0" fontId="62" fillId="0" borderId="19" xfId="0" applyFont="1" applyBorder="1" applyAlignment="1">
      <alignment horizontal="center"/>
    </xf>
    <xf numFmtId="0" fontId="62" fillId="0" borderId="14" xfId="0" applyFont="1" applyBorder="1" applyAlignment="1">
      <alignment horizontal="center"/>
    </xf>
    <xf numFmtId="0" fontId="17" fillId="0" borderId="5" xfId="0" applyFont="1" applyBorder="1" applyAlignment="1">
      <alignment horizontal="center"/>
    </xf>
    <xf numFmtId="0" fontId="17" fillId="0" borderId="3" xfId="0" applyFont="1" applyBorder="1" applyAlignment="1">
      <alignment horizontal="center"/>
    </xf>
    <xf numFmtId="0" fontId="17" fillId="0" borderId="6" xfId="0" applyFont="1" applyBorder="1" applyAlignment="1">
      <alignment horizontal="center"/>
    </xf>
    <xf numFmtId="0" fontId="63" fillId="0" borderId="5" xfId="0" applyFont="1" applyBorder="1" applyAlignment="1">
      <alignment horizontal="center"/>
    </xf>
    <xf numFmtId="0" fontId="63" fillId="0" borderId="3" xfId="0" applyFont="1" applyBorder="1" applyAlignment="1">
      <alignment horizontal="center"/>
    </xf>
    <xf numFmtId="0" fontId="63" fillId="0" borderId="6" xfId="0" applyFont="1" applyBorder="1" applyAlignment="1">
      <alignment horizontal="center"/>
    </xf>
    <xf numFmtId="0" fontId="35" fillId="0" borderId="23" xfId="0" applyFont="1" applyBorder="1" applyAlignment="1">
      <alignment horizontal="center" vertical="center" wrapText="1"/>
    </xf>
    <xf numFmtId="0" fontId="35" fillId="0" borderId="14" xfId="0" applyFont="1" applyBorder="1" applyAlignment="1">
      <alignment horizontal="center" vertical="center" wrapText="1"/>
    </xf>
    <xf numFmtId="0" fontId="61" fillId="0" borderId="18" xfId="0" applyFont="1" applyBorder="1" applyAlignment="1">
      <alignment horizontal="center" vertical="center" wrapText="1"/>
    </xf>
    <xf numFmtId="0" fontId="61" fillId="0" borderId="31" xfId="0" applyFont="1" applyBorder="1" applyAlignment="1">
      <alignment horizontal="center" vertical="center" wrapText="1"/>
    </xf>
    <xf numFmtId="0" fontId="3" fillId="0" borderId="2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6" fillId="0" borderId="0" xfId="0" applyFont="1" applyAlignment="1">
      <alignment horizontal="left"/>
    </xf>
    <xf numFmtId="0" fontId="0" fillId="0" borderId="0" xfId="0" applyAlignment="1">
      <alignment horizontal="left"/>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4" xfId="0" applyFont="1" applyBorder="1" applyAlignment="1">
      <alignment horizontal="center" vertical="center"/>
    </xf>
  </cellXfs>
  <cellStyles count="3">
    <cellStyle name="Bad" xfId="2" builtinId="27"/>
    <cellStyle name="Good" xfId="1" builtinId="26"/>
    <cellStyle name="Normal" xfId="0" builtinId="0"/>
  </cellStyles>
  <dxfs count="23">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1D08B8"/>
      <color rgb="FF009900"/>
      <color rgb="FF7030A0"/>
      <color rgb="FFFF33CC"/>
      <color rgb="FF0000FF"/>
      <color rgb="FFFF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528768289403931"/>
          <c:y val="7.8900917863026609E-2"/>
          <c:w val="0.77990699072019964"/>
          <c:h val="0.89135802469135805"/>
        </c:manualLayout>
      </c:layout>
      <c:barChart>
        <c:barDir val="col"/>
        <c:grouping val="stacked"/>
        <c:varyColors val="0"/>
        <c:ser>
          <c:idx val="0"/>
          <c:order val="0"/>
          <c:spPr>
            <a:solidFill>
              <a:srgbClr val="00B0F0"/>
            </a:solidFill>
            <a:ln>
              <a:noFill/>
            </a:ln>
            <a:effectLst/>
          </c:spPr>
          <c:invertIfNegative val="0"/>
          <c:val>
            <c:numRef>
              <c:f>'Academic Plan_TEMPLATE'!$W$5</c:f>
              <c:numCache>
                <c:formatCode>0.0</c:formatCode>
                <c:ptCount val="1"/>
                <c:pt idx="0">
                  <c:v>0</c:v>
                </c:pt>
              </c:numCache>
            </c:numRef>
          </c:val>
          <c:extLst>
            <c:ext xmlns:c16="http://schemas.microsoft.com/office/drawing/2014/chart" uri="{C3380CC4-5D6E-409C-BE32-E72D297353CC}">
              <c16:uniqueId val="{00000000-A4D0-486D-8314-A4DD5F77828D}"/>
            </c:ext>
          </c:extLst>
        </c:ser>
        <c:dLbls>
          <c:showLegendKey val="0"/>
          <c:showVal val="0"/>
          <c:showCatName val="0"/>
          <c:showSerName val="0"/>
          <c:showPercent val="0"/>
          <c:showBubbleSize val="0"/>
        </c:dLbls>
        <c:gapWidth val="150"/>
        <c:overlap val="100"/>
        <c:axId val="515558448"/>
        <c:axId val="520456496"/>
      </c:barChart>
      <c:catAx>
        <c:axId val="515558448"/>
        <c:scaling>
          <c:orientation val="minMax"/>
        </c:scaling>
        <c:delete val="1"/>
        <c:axPos val="b"/>
        <c:majorTickMark val="none"/>
        <c:minorTickMark val="none"/>
        <c:tickLblPos val="nextTo"/>
        <c:crossAx val="520456496"/>
        <c:crosses val="autoZero"/>
        <c:auto val="1"/>
        <c:lblAlgn val="ctr"/>
        <c:lblOffset val="100"/>
        <c:noMultiLvlLbl val="0"/>
      </c:catAx>
      <c:valAx>
        <c:axId val="52045649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558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48683</xdr:colOff>
      <xdr:row>0</xdr:row>
      <xdr:rowOff>19050</xdr:rowOff>
    </xdr:from>
    <xdr:to>
      <xdr:col>20</xdr:col>
      <xdr:colOff>491066</xdr:colOff>
      <xdr:row>8</xdr:row>
      <xdr:rowOff>190500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39"/>
  <sheetViews>
    <sheetView tabSelected="1" zoomScale="130" zoomScaleNormal="130" zoomScaleSheetLayoutView="100" workbookViewId="0">
      <selection activeCell="O73" sqref="O73:O74"/>
    </sheetView>
  </sheetViews>
  <sheetFormatPr defaultColWidth="14.5703125" defaultRowHeight="15.75" x14ac:dyDescent="0.25"/>
  <cols>
    <col min="1" max="1" width="14.85546875" style="3" bestFit="1" customWidth="1"/>
    <col min="2" max="2" width="14.140625" style="3" customWidth="1"/>
    <col min="3" max="3" width="13.42578125" style="1" customWidth="1"/>
    <col min="4" max="4" width="21.7109375" style="3" customWidth="1"/>
    <col min="5" max="6" width="5.85546875" style="3" customWidth="1"/>
    <col min="7" max="7" width="7.28515625" style="1" customWidth="1"/>
    <col min="8" max="8" width="12.140625" style="3" customWidth="1"/>
    <col min="9" max="9" width="2.7109375" style="3" customWidth="1"/>
    <col min="10" max="10" width="5.140625" style="1" customWidth="1"/>
    <col min="11" max="11" width="19.85546875" style="1" customWidth="1"/>
    <col min="12" max="12" width="13.7109375" style="1" customWidth="1"/>
    <col min="13" max="13" width="13" style="1" customWidth="1"/>
    <col min="14" max="14" width="22.42578125" style="1" customWidth="1"/>
    <col min="15" max="16" width="5.85546875" style="1" customWidth="1"/>
    <col min="17" max="17" width="7.7109375" style="1" customWidth="1"/>
    <col min="18" max="18" width="12.28515625" style="1" customWidth="1"/>
    <col min="19" max="19" width="2" style="1" bestFit="1" customWidth="1"/>
    <col min="20" max="20" width="5.140625" style="1" customWidth="1"/>
    <col min="21" max="21" width="8.28515625" style="1" customWidth="1"/>
    <col min="22" max="22" width="11.85546875" style="1" customWidth="1"/>
    <col min="23" max="23" width="11.5703125" style="1" customWidth="1"/>
    <col min="24" max="24" width="11.7109375" style="1" customWidth="1"/>
    <col min="25" max="25" width="7.85546875" style="1" customWidth="1"/>
    <col min="26" max="26" width="4.85546875" style="1" customWidth="1"/>
    <col min="27" max="28" width="8.140625" style="1" customWidth="1"/>
    <col min="29" max="16384" width="14.5703125" style="1"/>
  </cols>
  <sheetData>
    <row r="1" spans="1:33" ht="23.25" x14ac:dyDescent="0.35">
      <c r="A1" s="217" t="s">
        <v>180</v>
      </c>
      <c r="B1" s="217"/>
      <c r="C1" s="217"/>
      <c r="D1" s="217"/>
      <c r="E1" s="217"/>
      <c r="F1" s="217"/>
      <c r="G1" s="217"/>
      <c r="H1" s="217"/>
      <c r="I1" s="217"/>
      <c r="J1" s="217"/>
      <c r="K1" s="217"/>
      <c r="L1" s="217"/>
      <c r="M1" s="217"/>
      <c r="N1" s="217"/>
      <c r="O1" s="217"/>
      <c r="P1" s="217"/>
      <c r="Q1" s="217"/>
      <c r="R1" s="217"/>
      <c r="W1" s="70">
        <f ca="1">TODAY()</f>
        <v>45574</v>
      </c>
      <c r="X1" s="4" t="s">
        <v>117</v>
      </c>
    </row>
    <row r="2" spans="1:33" ht="18.75" x14ac:dyDescent="0.3">
      <c r="A2" s="122" t="s">
        <v>181</v>
      </c>
      <c r="P2" s="136" t="s">
        <v>119</v>
      </c>
      <c r="Q2" s="136"/>
      <c r="R2" s="136"/>
      <c r="W2" s="77">
        <f ca="1">W1-39448</f>
        <v>6126</v>
      </c>
      <c r="X2" s="77" t="s">
        <v>113</v>
      </c>
      <c r="Y2" s="69"/>
      <c r="Z2" s="69"/>
      <c r="AF2" s="1">
        <v>1501</v>
      </c>
      <c r="AG2" s="1" t="s">
        <v>175</v>
      </c>
    </row>
    <row r="3" spans="1:33" x14ac:dyDescent="0.25">
      <c r="A3" s="123" t="s">
        <v>165</v>
      </c>
      <c r="B3" s="123"/>
      <c r="C3" s="124"/>
      <c r="D3" s="123"/>
      <c r="J3" s="75">
        <f ca="1">Y137+SUMIF(AA81:AA117,1,Y81:Y117)</f>
        <v>0</v>
      </c>
      <c r="K3" s="67" t="s">
        <v>118</v>
      </c>
      <c r="L3" s="68"/>
      <c r="M3" s="68"/>
      <c r="N3" s="68"/>
      <c r="O3" s="68"/>
      <c r="P3" s="68"/>
      <c r="Q3" s="68"/>
      <c r="R3" s="68"/>
      <c r="W3" s="78">
        <f ca="1">2008+W2/365.25</f>
        <v>2024.7720739219712</v>
      </c>
      <c r="X3" s="77" t="s">
        <v>114</v>
      </c>
      <c r="Y3" s="69"/>
      <c r="Z3" s="69"/>
      <c r="AE3"/>
      <c r="AF3" s="1">
        <v>1502</v>
      </c>
      <c r="AG3" s="1" t="s">
        <v>176</v>
      </c>
    </row>
    <row r="4" spans="1:33" ht="16.350000000000001" customHeight="1" thickBot="1" x14ac:dyDescent="0.3">
      <c r="A4" s="125" t="s">
        <v>184</v>
      </c>
      <c r="B4" s="126"/>
      <c r="C4" s="121" t="s">
        <v>85</v>
      </c>
      <c r="D4" s="121" t="s">
        <v>80</v>
      </c>
      <c r="E4" s="1" t="s">
        <v>185</v>
      </c>
      <c r="F4" s="1"/>
      <c r="G4" s="4"/>
      <c r="H4" s="4"/>
      <c r="I4" s="4"/>
      <c r="J4" s="120" t="str">
        <f>IF(Y139&gt;=W4,"yes", "no")</f>
        <v>no</v>
      </c>
      <c r="K4" s="67" t="s">
        <v>115</v>
      </c>
      <c r="L4" s="68"/>
      <c r="M4" s="68"/>
      <c r="N4" s="68"/>
      <c r="O4" s="68"/>
      <c r="P4" s="68"/>
      <c r="Q4" s="68"/>
      <c r="R4" s="68"/>
      <c r="W4" s="1">
        <f>120+IF(OR(E42="FA",E42="SP",O42="FA",O42="SP"),1,0)+IF(N20=1104,1,0)</f>
        <v>120</v>
      </c>
      <c r="X4" s="36" t="s">
        <v>120</v>
      </c>
      <c r="AE4"/>
      <c r="AF4" s="1">
        <v>1511</v>
      </c>
      <c r="AG4" s="1" t="s">
        <v>177</v>
      </c>
    </row>
    <row r="5" spans="1:33" ht="16.350000000000001" customHeight="1" x14ac:dyDescent="0.25">
      <c r="A5" s="126"/>
      <c r="B5" s="126"/>
      <c r="C5" s="128" t="s">
        <v>79</v>
      </c>
      <c r="D5" s="130">
        <v>2023</v>
      </c>
      <c r="E5" s="4"/>
      <c r="F5" s="4"/>
      <c r="G5" s="4"/>
      <c r="H5" s="119">
        <f>IF(C5="TR",D5,IF(C5="FA",D5+0.8,IF(C5="SP",D5+0.1,D5+0.5)))</f>
        <v>2023.8</v>
      </c>
      <c r="I5" s="4"/>
      <c r="J5" s="120" t="str">
        <f>IF(W6=0,"yes", "no")</f>
        <v>no</v>
      </c>
      <c r="K5" s="67" t="s">
        <v>116</v>
      </c>
      <c r="L5" s="68"/>
      <c r="M5" s="68"/>
      <c r="N5" s="68"/>
      <c r="O5" s="68"/>
      <c r="P5" s="68"/>
      <c r="Q5" s="68"/>
      <c r="R5" s="68"/>
      <c r="W5" s="37">
        <f ca="1">100*J3/W4</f>
        <v>0</v>
      </c>
      <c r="X5" s="1" t="s">
        <v>121</v>
      </c>
      <c r="AE5"/>
      <c r="AF5" s="1">
        <v>1512</v>
      </c>
      <c r="AG5" s="1" t="s">
        <v>178</v>
      </c>
    </row>
    <row r="6" spans="1:33" ht="16.350000000000001" customHeight="1" thickBot="1" x14ac:dyDescent="0.3">
      <c r="A6" s="126"/>
      <c r="B6" s="126"/>
      <c r="C6" s="129"/>
      <c r="D6" s="131"/>
      <c r="E6" s="4"/>
      <c r="F6" s="4"/>
      <c r="G6" s="4"/>
      <c r="H6" s="4"/>
      <c r="I6" s="4"/>
      <c r="J6" s="120" t="str">
        <f>IF(AC139=0,"yes", "no")</f>
        <v>yes</v>
      </c>
      <c r="K6" s="67" t="s">
        <v>125</v>
      </c>
      <c r="L6" s="68"/>
      <c r="M6" s="68"/>
      <c r="N6" s="68"/>
      <c r="O6" s="68"/>
      <c r="P6" s="68"/>
      <c r="Q6" s="68"/>
      <c r="R6" s="68"/>
      <c r="W6" s="1">
        <f>SUM(AA11:AB78)</f>
        <v>56</v>
      </c>
      <c r="X6" s="1" t="s">
        <v>106</v>
      </c>
    </row>
    <row r="7" spans="1:33" x14ac:dyDescent="0.25">
      <c r="A7" s="126"/>
      <c r="B7" s="126"/>
      <c r="C7" s="87"/>
      <c r="D7" s="133" t="s">
        <v>161</v>
      </c>
      <c r="E7" s="133"/>
      <c r="F7" s="133"/>
      <c r="G7" s="133"/>
      <c r="H7" s="133"/>
      <c r="I7" s="2"/>
      <c r="J7" s="2" t="s">
        <v>70</v>
      </c>
      <c r="K7" s="139"/>
      <c r="L7" s="139"/>
      <c r="M7" s="139"/>
      <c r="N7" s="2"/>
      <c r="O7" s="2" t="s">
        <v>71</v>
      </c>
      <c r="P7" s="138"/>
      <c r="Q7" s="138"/>
      <c r="R7" s="138"/>
    </row>
    <row r="8" spans="1:33" ht="7.5" customHeight="1" x14ac:dyDescent="0.25">
      <c r="A8" s="5"/>
      <c r="B8" s="4"/>
      <c r="C8" s="4"/>
      <c r="D8" s="4"/>
      <c r="E8" s="4"/>
      <c r="F8" s="4"/>
      <c r="G8" s="4"/>
      <c r="H8" s="4"/>
      <c r="I8" s="4"/>
      <c r="J8" s="4"/>
      <c r="K8" s="2"/>
      <c r="L8" s="22"/>
      <c r="M8" s="22"/>
      <c r="N8" s="2"/>
      <c r="O8" s="23"/>
      <c r="P8" s="23"/>
      <c r="Q8" s="23"/>
    </row>
    <row r="9" spans="1:33" x14ac:dyDescent="0.25">
      <c r="A9" s="218" t="s">
        <v>182</v>
      </c>
      <c r="B9" s="218"/>
      <c r="C9" s="218"/>
      <c r="D9" s="218"/>
      <c r="E9" s="218"/>
      <c r="F9" s="218"/>
      <c r="G9" s="218"/>
      <c r="H9" s="218"/>
      <c r="I9" s="218"/>
      <c r="J9" s="218"/>
      <c r="K9" s="218"/>
      <c r="L9" s="218"/>
      <c r="M9" s="218"/>
      <c r="N9" s="218"/>
      <c r="O9" s="218"/>
      <c r="P9" s="218"/>
      <c r="Q9" s="218"/>
      <c r="R9" s="218"/>
      <c r="V9" s="35" t="s">
        <v>128</v>
      </c>
      <c r="AA9" s="35" t="s">
        <v>105</v>
      </c>
    </row>
    <row r="10" spans="1:33" ht="21" customHeight="1" thickBot="1" x14ac:dyDescent="0.3">
      <c r="A10" s="137" t="s">
        <v>147</v>
      </c>
      <c r="B10" s="137"/>
      <c r="C10" s="132" t="s">
        <v>0</v>
      </c>
      <c r="D10" s="132"/>
      <c r="E10" s="42" t="s">
        <v>85</v>
      </c>
      <c r="F10" s="42" t="s">
        <v>80</v>
      </c>
      <c r="G10" s="6" t="s">
        <v>45</v>
      </c>
      <c r="H10" s="107" t="s">
        <v>166</v>
      </c>
      <c r="I10" s="7"/>
      <c r="J10" s="8"/>
      <c r="K10" s="137" t="s">
        <v>147</v>
      </c>
      <c r="L10" s="137"/>
      <c r="M10" s="132" t="s">
        <v>0</v>
      </c>
      <c r="N10" s="132"/>
      <c r="O10" s="42" t="s">
        <v>85</v>
      </c>
      <c r="P10" s="42" t="s">
        <v>80</v>
      </c>
      <c r="Q10" s="6" t="s">
        <v>45</v>
      </c>
      <c r="R10" s="107" t="s">
        <v>166</v>
      </c>
      <c r="V10" s="69" t="s">
        <v>126</v>
      </c>
      <c r="W10" s="69" t="s">
        <v>45</v>
      </c>
      <c r="X10" s="69" t="s">
        <v>127</v>
      </c>
      <c r="Y10" s="69" t="s">
        <v>45</v>
      </c>
      <c r="AA10" s="1" t="s">
        <v>103</v>
      </c>
      <c r="AB10" s="1" t="s">
        <v>104</v>
      </c>
    </row>
    <row r="11" spans="1:33" ht="15.95" customHeight="1" x14ac:dyDescent="0.25">
      <c r="A11" s="222" t="s">
        <v>17</v>
      </c>
      <c r="B11" s="223"/>
      <c r="C11" s="149" t="s">
        <v>1</v>
      </c>
      <c r="D11" s="9" t="s">
        <v>69</v>
      </c>
      <c r="E11" s="151"/>
      <c r="F11" s="141"/>
      <c r="G11" s="170">
        <v>2</v>
      </c>
      <c r="H11" s="140">
        <f>IF(E11="TR",F11,IF(E11="FA",F11+0.8,IF(E11="SP",F11+0.1,F11+0.6)))</f>
        <v>0.6</v>
      </c>
      <c r="I11" s="38"/>
      <c r="J11" s="38"/>
      <c r="K11" s="249" t="s">
        <v>19</v>
      </c>
      <c r="L11" s="247" t="s">
        <v>17</v>
      </c>
      <c r="M11" s="149" t="s">
        <v>1</v>
      </c>
      <c r="N11" s="9" t="s">
        <v>66</v>
      </c>
      <c r="O11" s="151"/>
      <c r="P11" s="141"/>
      <c r="Q11" s="170">
        <v>2</v>
      </c>
      <c r="R11" s="140">
        <f>IF(O11="TR",P11,IF(O11="FA",P11+0.8,IF(O11="SP",P11+0.1,P11+0.6)))</f>
        <v>0.6</v>
      </c>
      <c r="S11" s="38"/>
      <c r="T11" s="38"/>
      <c r="U11" s="10"/>
      <c r="V11" s="1">
        <f>IF(E11="TR",F11,IF(E11="FA",F11+0.8,IF(E11="SP",F11+0.1,F11+0.5)))</f>
        <v>0.5</v>
      </c>
      <c r="W11" s="1">
        <f>G11</f>
        <v>2</v>
      </c>
      <c r="X11" s="1">
        <f>IF(O11="TR",P11,IF(O11="FA",P11+0.8,IF(O11="SP",P11+0.1,P11+0.5)))</f>
        <v>0.5</v>
      </c>
      <c r="Y11" s="1">
        <f>Q11</f>
        <v>2</v>
      </c>
      <c r="AA11" s="1">
        <f>IF(OR(E11="TR",OR(V11=V19,V11&gt;V19,E19="TR")),0,1)</f>
        <v>0</v>
      </c>
      <c r="AB11" s="1">
        <f>IF(OR(X11&gt;=V11,E11="TR",AND(E11="SUM",O11="SUM",F11=P11)),0,1)+IF(OR(X11&gt;V19,E19="TR"),0,1)</f>
        <v>1</v>
      </c>
    </row>
    <row r="12" spans="1:33" ht="16.5" thickBot="1" x14ac:dyDescent="0.3">
      <c r="A12" s="224"/>
      <c r="B12" s="225"/>
      <c r="C12" s="150"/>
      <c r="D12" s="11">
        <v>1201</v>
      </c>
      <c r="E12" s="152"/>
      <c r="F12" s="142"/>
      <c r="G12" s="171"/>
      <c r="H12" s="140"/>
      <c r="I12" s="39"/>
      <c r="J12" s="38"/>
      <c r="K12" s="250"/>
      <c r="L12" s="248"/>
      <c r="M12" s="150"/>
      <c r="N12" s="11">
        <v>1202</v>
      </c>
      <c r="O12" s="152"/>
      <c r="P12" s="142"/>
      <c r="Q12" s="171"/>
      <c r="R12" s="140"/>
    </row>
    <row r="13" spans="1:33" ht="15.95" customHeight="1" x14ac:dyDescent="0.25">
      <c r="A13" s="191" t="s">
        <v>154</v>
      </c>
      <c r="B13" s="200"/>
      <c r="C13" s="244" t="s">
        <v>2</v>
      </c>
      <c r="D13" s="79" t="s">
        <v>92</v>
      </c>
      <c r="E13" s="151"/>
      <c r="F13" s="141"/>
      <c r="G13" s="166">
        <f>IF(OR(E13="FA",E13="SP",E13="SUM",E13="TR"),3,0)</f>
        <v>0</v>
      </c>
      <c r="H13" s="140">
        <f t="shared" ref="H13" si="0">IF(E13="TR",F13,IF(E13="FA",F13+0.8,IF(E13="SP",F13+0.1,F13+0.6)))</f>
        <v>0.6</v>
      </c>
      <c r="I13" s="38"/>
      <c r="J13" s="38"/>
      <c r="K13" s="143" t="s">
        <v>17</v>
      </c>
      <c r="L13" s="208"/>
      <c r="M13" s="149" t="s">
        <v>5</v>
      </c>
      <c r="N13" s="9" t="s">
        <v>95</v>
      </c>
      <c r="O13" s="151"/>
      <c r="P13" s="141"/>
      <c r="Q13" s="264">
        <v>3</v>
      </c>
      <c r="R13" s="140">
        <f t="shared" ref="R13" si="1">IF(O13="TR",P13,IF(O13="FA",P13+0.8,IF(O13="SP",P13+0.1,P13+0.6)))</f>
        <v>0.6</v>
      </c>
      <c r="V13" s="1">
        <f>IF(E13="TR",F13,IF(E13="FA",F13+0.8,IF(E13="SP",F13+0.1,F13+0.5)))</f>
        <v>0.5</v>
      </c>
      <c r="W13" s="1">
        <f>G13</f>
        <v>0</v>
      </c>
      <c r="X13" s="1">
        <f>IF(O13="TR",P13,IF(O13="FA",P13+0.8,IF(O13="SP",P13+0.1,P13+0.5)))</f>
        <v>0.5</v>
      </c>
      <c r="Y13" s="1">
        <f>Q13</f>
        <v>3</v>
      </c>
      <c r="AB13" s="1">
        <f>IF(OR(X13&gt;V19,E19="TR"),0,1)</f>
        <v>1</v>
      </c>
    </row>
    <row r="14" spans="1:33" ht="16.5" thickBot="1" x14ac:dyDescent="0.3">
      <c r="A14" s="192"/>
      <c r="B14" s="201"/>
      <c r="C14" s="245"/>
      <c r="D14" s="80">
        <v>1251</v>
      </c>
      <c r="E14" s="152"/>
      <c r="F14" s="142"/>
      <c r="G14" s="201"/>
      <c r="H14" s="140"/>
      <c r="I14" s="38"/>
      <c r="J14" s="38"/>
      <c r="K14" s="145"/>
      <c r="L14" s="209"/>
      <c r="M14" s="150"/>
      <c r="N14" s="11">
        <v>2101</v>
      </c>
      <c r="O14" s="152"/>
      <c r="P14" s="142"/>
      <c r="Q14" s="171"/>
      <c r="R14" s="140"/>
    </row>
    <row r="15" spans="1:33" ht="15.95" customHeight="1" x14ac:dyDescent="0.25">
      <c r="A15" s="192"/>
      <c r="B15" s="173" t="s">
        <v>34</v>
      </c>
      <c r="C15" s="246" t="s">
        <v>2</v>
      </c>
      <c r="D15" s="79" t="s">
        <v>93</v>
      </c>
      <c r="E15" s="151"/>
      <c r="F15" s="141"/>
      <c r="G15" s="166">
        <f>IF(OR(E15="FA",E15="SP",E15="SUM",E15="TR"),1,0)</f>
        <v>0</v>
      </c>
      <c r="H15" s="140">
        <f t="shared" ref="H15" si="2">IF(E15="TR",F15,IF(E15="FA",F15+0.8,IF(E15="SP",F15+0.1,F15+0.6)))</f>
        <v>0.6</v>
      </c>
      <c r="I15" s="38"/>
      <c r="J15" s="38"/>
      <c r="K15" s="222" t="s">
        <v>13</v>
      </c>
      <c r="L15" s="223"/>
      <c r="M15" s="149" t="s">
        <v>5</v>
      </c>
      <c r="N15" s="9" t="s">
        <v>96</v>
      </c>
      <c r="O15" s="151"/>
      <c r="P15" s="141"/>
      <c r="Q15" s="170">
        <v>1</v>
      </c>
      <c r="R15" s="140">
        <f t="shared" ref="R15" si="3">IF(O15="TR",P15,IF(O15="FA",P15+0.8,IF(O15="SP",P15+0.1,P15+0.6)))</f>
        <v>0.6</v>
      </c>
      <c r="V15" s="1">
        <f>IF(E15="TR",F15,IF(E15="FA",F15+0.8,IF(E15="SP",F15+0.1,F15+0.5)))</f>
        <v>0.5</v>
      </c>
      <c r="W15" s="1">
        <f>G15</f>
        <v>0</v>
      </c>
      <c r="X15" s="1">
        <f>IF(O15="TR",P15,IF(O15="FA",P15+0.8,IF(O15="SP",P15+0.1,P15+0.5)))</f>
        <v>0.5</v>
      </c>
      <c r="Y15" s="1">
        <f>Q15</f>
        <v>1</v>
      </c>
      <c r="AB15" s="1">
        <f>IF(OR(X13&lt;=X15,O15="TR"),0,1)</f>
        <v>0</v>
      </c>
    </row>
    <row r="16" spans="1:33" ht="16.5" thickBot="1" x14ac:dyDescent="0.3">
      <c r="A16" s="192"/>
      <c r="B16" s="174"/>
      <c r="C16" s="245"/>
      <c r="D16" s="80" t="s">
        <v>3</v>
      </c>
      <c r="E16" s="152"/>
      <c r="F16" s="142"/>
      <c r="G16" s="201"/>
      <c r="H16" s="140"/>
      <c r="I16" s="38"/>
      <c r="J16" s="38"/>
      <c r="K16" s="224"/>
      <c r="L16" s="225"/>
      <c r="M16" s="150"/>
      <c r="N16" s="11" t="s">
        <v>6</v>
      </c>
      <c r="O16" s="152"/>
      <c r="P16" s="142"/>
      <c r="Q16" s="171"/>
      <c r="R16" s="140"/>
    </row>
    <row r="17" spans="1:33" x14ac:dyDescent="0.25">
      <c r="A17" s="192"/>
      <c r="B17" s="173" t="s">
        <v>19</v>
      </c>
      <c r="C17" s="198" t="s">
        <v>8</v>
      </c>
      <c r="D17" s="82" t="s">
        <v>153</v>
      </c>
      <c r="E17" s="141"/>
      <c r="F17" s="141"/>
      <c r="G17" s="166">
        <f>IF(OR(E17="FA",E17="SP",E17="SUM",E17="TR"),4,0)</f>
        <v>0</v>
      </c>
      <c r="H17" s="140">
        <f t="shared" ref="H17" si="4">IF(E17="TR",F17,IF(E17="FA",F17+0.8,IF(E17="SP",F17+0.1,F17+0.6)))</f>
        <v>0.6</v>
      </c>
      <c r="I17" s="38"/>
      <c r="J17" s="38"/>
      <c r="K17" s="143" t="s">
        <v>17</v>
      </c>
      <c r="L17" s="144"/>
      <c r="M17" s="226" t="s">
        <v>4</v>
      </c>
      <c r="N17" s="9" t="s">
        <v>97</v>
      </c>
      <c r="O17" s="151"/>
      <c r="P17" s="141"/>
      <c r="Q17" s="166">
        <v>3</v>
      </c>
      <c r="R17" s="140">
        <f t="shared" ref="R17" si="5">IF(O17="TR",P17,IF(O17="FA",P17+0.8,IF(O17="SP",P17+0.1,P17+0.6)))</f>
        <v>0.6</v>
      </c>
      <c r="V17" s="1">
        <f>IF(E17="TR",F17,IF(E17="FA",F17+0.8,IF(E17="SP",F17+0.1,F17+0.5)))</f>
        <v>0.5</v>
      </c>
      <c r="W17" s="1">
        <f>G17</f>
        <v>0</v>
      </c>
      <c r="X17" s="1">
        <f>IF(O17="TR",P17,IF(O17="FA",P17+0.8,IF(O17="SP",P17+0.1,P17+0.5)))</f>
        <v>0.5</v>
      </c>
      <c r="Y17" s="1">
        <f>Q17</f>
        <v>3</v>
      </c>
      <c r="AB17" s="1">
        <f>IF(OR(X17&gt;V19,O17="TR"),0,1)</f>
        <v>1</v>
      </c>
    </row>
    <row r="18" spans="1:33" ht="16.5" thickBot="1" x14ac:dyDescent="0.3">
      <c r="A18" s="193"/>
      <c r="B18" s="174"/>
      <c r="C18" s="199"/>
      <c r="D18" s="81">
        <v>1100</v>
      </c>
      <c r="E18" s="201"/>
      <c r="F18" s="201"/>
      <c r="G18" s="201"/>
      <c r="H18" s="140"/>
      <c r="I18" s="38"/>
      <c r="J18" s="38"/>
      <c r="K18" s="145"/>
      <c r="L18" s="146"/>
      <c r="M18" s="227"/>
      <c r="N18" s="11">
        <v>1242</v>
      </c>
      <c r="O18" s="152"/>
      <c r="P18" s="142"/>
      <c r="Q18" s="167"/>
      <c r="R18" s="140"/>
    </row>
    <row r="19" spans="1:33" x14ac:dyDescent="0.25">
      <c r="A19" s="194" t="s">
        <v>46</v>
      </c>
      <c r="B19" s="195"/>
      <c r="C19" s="149" t="s">
        <v>4</v>
      </c>
      <c r="D19" s="9" t="s">
        <v>94</v>
      </c>
      <c r="E19" s="151"/>
      <c r="F19" s="141"/>
      <c r="G19" s="170">
        <v>3</v>
      </c>
      <c r="H19" s="140">
        <f t="shared" ref="H19" si="6">IF(E19="TR",F19,IF(E19="FA",F19+0.8,IF(E19="SP",F19+0.1,F19+0.6)))</f>
        <v>0.6</v>
      </c>
      <c r="I19" s="38"/>
      <c r="J19" s="38"/>
      <c r="K19" s="237"/>
      <c r="L19" s="238"/>
      <c r="M19" s="265" t="s">
        <v>167</v>
      </c>
      <c r="N19" s="9" t="s">
        <v>142</v>
      </c>
      <c r="O19" s="151"/>
      <c r="P19" s="141"/>
      <c r="Q19" s="166">
        <f>IF(OR(N20=1101,N20=1102,N20=1103),3,4)</f>
        <v>3</v>
      </c>
      <c r="R19" s="140">
        <f t="shared" ref="R19" si="7">IF(O19="TR",P19,IF(O19="FA",P19+0.8,IF(O19="SP",P19+0.1,P19+0.6)))</f>
        <v>0.6</v>
      </c>
      <c r="V19" s="1">
        <f>IF(E19="TR",F19,IF(E19="FA",F19+0.8,IF(E19="SP",F19+0.1,F19+0.5)))</f>
        <v>0.5</v>
      </c>
      <c r="W19" s="1">
        <f>G19</f>
        <v>3</v>
      </c>
      <c r="X19" s="1">
        <f>IF(O19="TR",P19,IF(O19="FA",P19+0.8,IF(O19="SP",P19+0.1,P19+0.5)))</f>
        <v>0.5</v>
      </c>
      <c r="Y19" s="1">
        <f>Q19</f>
        <v>3</v>
      </c>
    </row>
    <row r="20" spans="1:33" ht="16.5" thickBot="1" x14ac:dyDescent="0.3">
      <c r="A20" s="196"/>
      <c r="B20" s="197"/>
      <c r="C20" s="150"/>
      <c r="D20" s="11">
        <v>1241</v>
      </c>
      <c r="E20" s="152"/>
      <c r="F20" s="142"/>
      <c r="G20" s="171"/>
      <c r="H20" s="140"/>
      <c r="I20" s="38"/>
      <c r="J20" s="38"/>
      <c r="K20" s="239"/>
      <c r="L20" s="240"/>
      <c r="M20" s="266"/>
      <c r="N20" s="53">
        <v>1103</v>
      </c>
      <c r="O20" s="152"/>
      <c r="P20" s="142"/>
      <c r="Q20" s="167"/>
      <c r="R20" s="140"/>
    </row>
    <row r="21" spans="1:33" ht="15.95" customHeight="1" x14ac:dyDescent="0.25">
      <c r="A21" s="185" t="s">
        <v>35</v>
      </c>
      <c r="B21" s="186"/>
      <c r="C21" s="175" t="s">
        <v>98</v>
      </c>
      <c r="D21" s="176"/>
      <c r="E21" s="151"/>
      <c r="F21" s="141"/>
      <c r="G21" s="170">
        <v>3</v>
      </c>
      <c r="H21" s="140">
        <f t="shared" ref="H21" si="8">IF(E21="TR",F21,IF(E21="FA",F21+0.8,IF(E21="SP",F21+0.1,F21+0.6)))</f>
        <v>0.6</v>
      </c>
      <c r="I21" s="38"/>
      <c r="J21" s="38"/>
      <c r="K21" s="160" t="str">
        <f>IF(OR(N74=N22,D41=N22),"Duplicate LBST course","")</f>
        <v/>
      </c>
      <c r="L21" s="161"/>
      <c r="M21" s="149" t="s">
        <v>174</v>
      </c>
      <c r="N21" s="58" t="str">
        <f>IF(N22=1501,$AG$2,IF(N22=1502,$AG$3,IF(N22=1511,$AG$4,$AG$5)))</f>
        <v>Global Arts/Humanities</v>
      </c>
      <c r="O21" s="151"/>
      <c r="P21" s="141"/>
      <c r="Q21" s="170">
        <v>3</v>
      </c>
      <c r="R21" s="140">
        <f t="shared" ref="R21" si="9">IF(O21="TR",P21,IF(O21="FA",P21+0.8,IF(O21="SP",P21+0.1,P21+0.6)))</f>
        <v>0.6</v>
      </c>
      <c r="V21" s="1">
        <f>IF(E21="TR",F21,IF(E21="FA",F21+0.8,IF(E21="SP",F21+0.1,F21+0.5)))</f>
        <v>0.5</v>
      </c>
      <c r="W21" s="1">
        <f>G21</f>
        <v>3</v>
      </c>
      <c r="X21" s="1">
        <f>IF(O21="TR",P21,IF(O21="FA",P21+0.8,IF(O21="SP",P21+0.1,P21+0.5)))</f>
        <v>0.5</v>
      </c>
      <c r="Y21" s="1">
        <f>Q21</f>
        <v>3</v>
      </c>
    </row>
    <row r="22" spans="1:33" ht="16.5" thickBot="1" x14ac:dyDescent="0.3">
      <c r="A22" s="187"/>
      <c r="B22" s="188"/>
      <c r="C22" s="177"/>
      <c r="D22" s="178"/>
      <c r="E22" s="152"/>
      <c r="F22" s="142"/>
      <c r="G22" s="171"/>
      <c r="H22" s="140"/>
      <c r="I22" s="38"/>
      <c r="J22" s="38"/>
      <c r="K22" s="162"/>
      <c r="L22" s="163"/>
      <c r="M22" s="150"/>
      <c r="N22" s="52">
        <v>1502</v>
      </c>
      <c r="O22" s="152"/>
      <c r="P22" s="142"/>
      <c r="Q22" s="171"/>
      <c r="R22" s="140"/>
    </row>
    <row r="23" spans="1:33" ht="15.95" customHeight="1" x14ac:dyDescent="0.25">
      <c r="A23" s="175"/>
      <c r="B23" s="176"/>
      <c r="C23" s="149" t="s">
        <v>174</v>
      </c>
      <c r="D23" s="58" t="str">
        <f>IF(D24=1501,$AG$2,IF(D24=1502,$AG$3,IF(D24=1511,$AG$4,$AG$5)))</f>
        <v>Global Social Science</v>
      </c>
      <c r="E23" s="151"/>
      <c r="F23" s="141"/>
      <c r="G23" s="170">
        <v>3</v>
      </c>
      <c r="H23" s="140">
        <f t="shared" ref="H23" si="10">IF(E23="TR",F23,IF(E23="FA",F23+0.8,IF(E23="SP",F23+0.1,F23+0.6)))</f>
        <v>0.6</v>
      </c>
      <c r="I23" s="38"/>
      <c r="J23" s="38"/>
      <c r="V23" s="1">
        <f>IF(E23="TR",F23,IF(E23="FA",F23+0.8,IF(E23="SP",F23+0.1,F23+0.5)))</f>
        <v>0.5</v>
      </c>
      <c r="W23" s="1">
        <f>G23</f>
        <v>3</v>
      </c>
    </row>
    <row r="24" spans="1:33" ht="16.5" thickBot="1" x14ac:dyDescent="0.3">
      <c r="A24" s="177"/>
      <c r="B24" s="178"/>
      <c r="C24" s="150"/>
      <c r="D24" s="52">
        <v>1501</v>
      </c>
      <c r="E24" s="152"/>
      <c r="F24" s="142"/>
      <c r="G24" s="171"/>
      <c r="H24" s="140"/>
      <c r="I24" s="38"/>
      <c r="J24" s="38"/>
    </row>
    <row r="25" spans="1:33" s="4" customFormat="1" x14ac:dyDescent="0.25">
      <c r="A25" s="3"/>
      <c r="B25" s="3"/>
      <c r="C25" s="1"/>
      <c r="D25" s="3"/>
      <c r="E25" s="3"/>
      <c r="F25" s="3"/>
      <c r="G25" s="1"/>
      <c r="H25" s="3"/>
      <c r="I25" s="3"/>
      <c r="J25" s="1"/>
      <c r="K25" s="1"/>
      <c r="L25" s="1"/>
    </row>
    <row r="26" spans="1:33" x14ac:dyDescent="0.25">
      <c r="A26" s="218" t="s">
        <v>183</v>
      </c>
      <c r="B26" s="218"/>
      <c r="C26" s="218"/>
      <c r="D26" s="218"/>
      <c r="E26" s="218"/>
      <c r="F26" s="218"/>
      <c r="G26" s="218"/>
      <c r="H26" s="218"/>
      <c r="I26" s="218"/>
      <c r="J26" s="218"/>
      <c r="K26" s="218"/>
      <c r="L26" s="218"/>
      <c r="M26" s="218"/>
      <c r="N26" s="218"/>
      <c r="O26" s="218"/>
      <c r="P26" s="218"/>
      <c r="Q26" s="218"/>
      <c r="R26" s="218"/>
    </row>
    <row r="27" spans="1:33" ht="21" customHeight="1" thickBot="1" x14ac:dyDescent="0.3">
      <c r="A27" s="137" t="s">
        <v>147</v>
      </c>
      <c r="B27" s="137"/>
      <c r="C27" s="132" t="s">
        <v>0</v>
      </c>
      <c r="D27" s="132"/>
      <c r="E27" s="42" t="s">
        <v>85</v>
      </c>
      <c r="F27" s="42" t="s">
        <v>80</v>
      </c>
      <c r="G27" s="6" t="s">
        <v>45</v>
      </c>
      <c r="H27" s="107" t="s">
        <v>166</v>
      </c>
      <c r="I27" s="1"/>
      <c r="K27" s="137" t="s">
        <v>147</v>
      </c>
      <c r="L27" s="137"/>
      <c r="M27" s="132" t="s">
        <v>0</v>
      </c>
      <c r="N27" s="132"/>
      <c r="O27" s="42" t="s">
        <v>85</v>
      </c>
      <c r="P27" s="42" t="s">
        <v>80</v>
      </c>
      <c r="Q27" s="6" t="s">
        <v>45</v>
      </c>
      <c r="R27" s="107" t="s">
        <v>166</v>
      </c>
    </row>
    <row r="28" spans="1:33" ht="16.5" customHeight="1" thickBot="1" x14ac:dyDescent="0.3">
      <c r="A28" s="219" t="s">
        <v>13</v>
      </c>
      <c r="B28" s="219" t="s">
        <v>14</v>
      </c>
      <c r="C28" s="149" t="s">
        <v>7</v>
      </c>
      <c r="D28" s="9" t="s">
        <v>88</v>
      </c>
      <c r="E28" s="151"/>
      <c r="F28" s="141"/>
      <c r="G28" s="166">
        <v>3</v>
      </c>
      <c r="H28" s="140">
        <f>IF(E28="TR",F28,IF(E28="FA",F28+0.8,IF(E28="SP",F28+0.1,F28+0.6)))</f>
        <v>0.6</v>
      </c>
      <c r="I28" s="39"/>
      <c r="J28" s="40"/>
      <c r="K28" s="234" t="s">
        <v>26</v>
      </c>
      <c r="L28" s="235"/>
      <c r="M28" s="149" t="s">
        <v>10</v>
      </c>
      <c r="N28" s="9" t="s">
        <v>47</v>
      </c>
      <c r="O28" s="151"/>
      <c r="P28" s="141"/>
      <c r="Q28" s="166">
        <v>3</v>
      </c>
      <c r="R28" s="140">
        <f>IF(O28="TR",P28,IF(O28="FA",P28+0.8,IF(O28="SP",P28+0.1,P28+0.6)))</f>
        <v>0.6</v>
      </c>
      <c r="S28" s="38"/>
      <c r="T28" s="38"/>
      <c r="U28" s="10"/>
      <c r="V28" s="1">
        <f>IF(E28="TR",F28,IF(E28="FA",F28+0.8,IF(E28="SP",F28+0.1,F28+0.5)))</f>
        <v>0.5</v>
      </c>
      <c r="W28" s="1">
        <f>G28</f>
        <v>3</v>
      </c>
      <c r="X28" s="1">
        <f>IF(O28="TR",P28,IF(O28="FA",P28+0.8,IF(O28="SP",P28+0.1,P28+0.5)))</f>
        <v>0.5</v>
      </c>
      <c r="Y28" s="1">
        <f>Q28</f>
        <v>3</v>
      </c>
      <c r="AA28" s="1">
        <f>IF(E28="TR",0,(IF(OR(V28&gt;X13,O13="TR",AND(O13="SUM",E28="SUM",P13=F28)),0,1)+IF(OR(V28&gt;X17,O17="TR"),0,1)))</f>
        <v>2</v>
      </c>
      <c r="AB28" s="1">
        <f>IF(OR(X28&gt;X11,O11="TR"),0,1)+IF(OR(X28&gt;V34,E34="TR"),0,1)+IF(OR(X28&gt;V31,E28="TR"),0,1)+IF(X28=X31,0,1)</f>
        <v>3</v>
      </c>
      <c r="AF28" s="127"/>
      <c r="AG28" s="132"/>
    </row>
    <row r="29" spans="1:33" ht="16.5" thickBot="1" x14ac:dyDescent="0.3">
      <c r="A29" s="220"/>
      <c r="B29" s="220"/>
      <c r="C29" s="159"/>
      <c r="D29" s="147">
        <v>2102</v>
      </c>
      <c r="E29" s="216"/>
      <c r="F29" s="172"/>
      <c r="G29" s="236"/>
      <c r="H29" s="140"/>
      <c r="I29" s="39"/>
      <c r="J29" s="40"/>
      <c r="K29" s="26" t="s">
        <v>15</v>
      </c>
      <c r="L29" s="32"/>
      <c r="M29" s="159"/>
      <c r="N29" s="147">
        <v>2180</v>
      </c>
      <c r="O29" s="216"/>
      <c r="P29" s="172"/>
      <c r="Q29" s="236"/>
      <c r="R29" s="140"/>
      <c r="S29" s="40"/>
      <c r="T29" s="40"/>
      <c r="AF29" s="127"/>
      <c r="AG29" s="132"/>
    </row>
    <row r="30" spans="1:33" ht="16.5" thickBot="1" x14ac:dyDescent="0.3">
      <c r="A30" s="221"/>
      <c r="B30" s="221"/>
      <c r="C30" s="150"/>
      <c r="D30" s="148"/>
      <c r="E30" s="152"/>
      <c r="F30" s="142"/>
      <c r="G30" s="167"/>
      <c r="H30" s="140"/>
      <c r="I30" s="39"/>
      <c r="J30" s="40"/>
      <c r="K30" s="26" t="s">
        <v>18</v>
      </c>
      <c r="L30" s="31" t="s">
        <v>16</v>
      </c>
      <c r="M30" s="150"/>
      <c r="N30" s="148"/>
      <c r="O30" s="152"/>
      <c r="P30" s="142"/>
      <c r="Q30" s="167"/>
      <c r="R30" s="140"/>
      <c r="S30" s="40"/>
      <c r="T30" s="40"/>
      <c r="AG30" s="132"/>
    </row>
    <row r="31" spans="1:33" ht="18" customHeight="1" thickBot="1" x14ac:dyDescent="0.3">
      <c r="A31" s="269" t="s">
        <v>40</v>
      </c>
      <c r="B31" s="272" t="s">
        <v>33</v>
      </c>
      <c r="C31" s="226" t="s">
        <v>7</v>
      </c>
      <c r="D31" s="9" t="s">
        <v>89</v>
      </c>
      <c r="E31" s="151"/>
      <c r="F31" s="141"/>
      <c r="G31" s="166">
        <v>1</v>
      </c>
      <c r="H31" s="140">
        <f>IF(E31="TR",F31,IF(E31="FA",F31+0.8,IF(E31="SP",F31+0.1,F31+0.6)))</f>
        <v>0.6</v>
      </c>
      <c r="I31" s="39"/>
      <c r="J31" s="40"/>
      <c r="K31" s="232" t="s">
        <v>36</v>
      </c>
      <c r="L31" s="233"/>
      <c r="M31" s="226" t="s">
        <v>10</v>
      </c>
      <c r="N31" s="9" t="s">
        <v>48</v>
      </c>
      <c r="O31" s="151"/>
      <c r="P31" s="141"/>
      <c r="Q31" s="166">
        <v>2</v>
      </c>
      <c r="R31" s="140">
        <f>IF(O31="TR",P31,IF(O31="FA",P31+0.8,IF(O31="SP",P31+0.1,P31+0.6)))</f>
        <v>0.6</v>
      </c>
      <c r="S31" s="38"/>
      <c r="T31" s="38"/>
      <c r="U31" s="10"/>
      <c r="V31" s="1">
        <f>IF(E31="TR",F31,IF(E31="FA",F31+0.8,IF(E31="SP",F31+0.1,F31+0.5)))</f>
        <v>0.5</v>
      </c>
      <c r="W31" s="1">
        <f>G31</f>
        <v>1</v>
      </c>
      <c r="X31" s="1">
        <f>IF(O31="TR",P31,IF(O31="FA",P31+0.8,IF(O31="SP",P31+0.1,P31+0.5)))</f>
        <v>0.5</v>
      </c>
      <c r="Y31" s="1">
        <f>Q31</f>
        <v>2</v>
      </c>
      <c r="AA31" s="1">
        <f>IF(OR(V28&lt;=V31,E31="TR"),0,1)+IF(OR(V31&gt;=X15,E31="TR"),0,1)</f>
        <v>0</v>
      </c>
      <c r="AB31" s="1">
        <f>IF(OR(X28&gt;X11,O11="TR"),0,1)+IF(OR(X28&gt;V34,E34="TR"),0,1)+IF(X28&gt;V28,0,1)+IF(X28=X31,0,1)+IF(OR(X28&gt;V11,E11="TR"),0,1)</f>
        <v>4</v>
      </c>
    </row>
    <row r="32" spans="1:33" ht="18" customHeight="1" thickBot="1" x14ac:dyDescent="0.3">
      <c r="A32" s="270"/>
      <c r="B32" s="273"/>
      <c r="C32" s="159"/>
      <c r="D32" s="147" t="s">
        <v>9</v>
      </c>
      <c r="E32" s="216"/>
      <c r="F32" s="172"/>
      <c r="G32" s="236"/>
      <c r="H32" s="140"/>
      <c r="I32" s="39"/>
      <c r="J32" s="40"/>
      <c r="K32" s="26" t="s">
        <v>19</v>
      </c>
      <c r="L32" s="26" t="s">
        <v>15</v>
      </c>
      <c r="M32" s="159"/>
      <c r="N32" s="147">
        <v>2156</v>
      </c>
      <c r="O32" s="216"/>
      <c r="P32" s="172"/>
      <c r="Q32" s="236"/>
      <c r="R32" s="140"/>
      <c r="S32" s="40"/>
      <c r="T32" s="40"/>
    </row>
    <row r="33" spans="1:28" ht="16.5" thickBot="1" x14ac:dyDescent="0.3">
      <c r="A33" s="271"/>
      <c r="B33" s="274"/>
      <c r="C33" s="227"/>
      <c r="D33" s="148"/>
      <c r="E33" s="152"/>
      <c r="F33" s="142"/>
      <c r="G33" s="167"/>
      <c r="H33" s="140"/>
      <c r="I33" s="39"/>
      <c r="J33" s="40"/>
      <c r="K33" s="26" t="s">
        <v>40</v>
      </c>
      <c r="L33" s="26" t="s">
        <v>18</v>
      </c>
      <c r="M33" s="227"/>
      <c r="N33" s="148"/>
      <c r="O33" s="152"/>
      <c r="P33" s="142"/>
      <c r="Q33" s="167"/>
      <c r="R33" s="140"/>
      <c r="S33" s="40"/>
      <c r="T33" s="40"/>
    </row>
    <row r="34" spans="1:28" ht="24" customHeight="1" x14ac:dyDescent="0.25">
      <c r="A34" s="157" t="s">
        <v>13</v>
      </c>
      <c r="B34" s="157" t="s">
        <v>14</v>
      </c>
      <c r="C34" s="149" t="s">
        <v>8</v>
      </c>
      <c r="D34" s="103" t="s">
        <v>67</v>
      </c>
      <c r="E34" s="151"/>
      <c r="F34" s="141"/>
      <c r="G34" s="166">
        <v>3</v>
      </c>
      <c r="H34" s="140">
        <f t="shared" ref="H34" si="11">IF(E34="TR",F34,IF(E34="FA",F34+0.8,IF(E34="SP",F34+0.1,F34+0.5)))</f>
        <v>0.5</v>
      </c>
      <c r="I34" s="38"/>
      <c r="J34" s="38"/>
      <c r="K34" s="143" t="s">
        <v>18</v>
      </c>
      <c r="L34" s="144"/>
      <c r="M34" s="149" t="s">
        <v>10</v>
      </c>
      <c r="N34" s="9" t="s">
        <v>49</v>
      </c>
      <c r="O34" s="151"/>
      <c r="P34" s="141"/>
      <c r="Q34" s="166">
        <v>3</v>
      </c>
      <c r="R34" s="140">
        <f t="shared" ref="R34:R42" si="12">IF(O34="TR",P34,IF(O34="FA",P34+0.8,IF(O34="SP",P34+0.1,P34+0.6)))</f>
        <v>0.6</v>
      </c>
      <c r="S34" s="38"/>
      <c r="T34" s="38"/>
      <c r="U34" s="10"/>
      <c r="V34" s="1">
        <f>IF(E34="TR",F34,IF(E34="FA",F34+0.8,IF(E34="SP",F34+0.1,F34+0.5)))</f>
        <v>0.5</v>
      </c>
      <c r="W34" s="1">
        <f>G34</f>
        <v>3</v>
      </c>
      <c r="X34" s="1">
        <f>IF(O34="TR",P34,IF(O34="FA",P34+0.8,IF(O34="SP",P34+0.1,P34+0.5)))</f>
        <v>0.5</v>
      </c>
      <c r="Y34" s="1">
        <f>Q34</f>
        <v>3</v>
      </c>
      <c r="AA34" s="1">
        <f>IF(OR(V34&gt;X13,O13="TR"),0,1)+IF(OR(V34&gt;X17,O17="TR"),0,1)</f>
        <v>2</v>
      </c>
      <c r="AB34" s="1">
        <f>IF(OR(X34&gt;V34,E34="TR",AND(E34="SUM",O34="SUM",F34=P34)),0,1)</f>
        <v>1</v>
      </c>
    </row>
    <row r="35" spans="1:28" ht="16.5" thickBot="1" x14ac:dyDescent="0.3">
      <c r="A35" s="158"/>
      <c r="B35" s="158"/>
      <c r="C35" s="150"/>
      <c r="D35" s="104">
        <v>2141</v>
      </c>
      <c r="E35" s="152"/>
      <c r="F35" s="142"/>
      <c r="G35" s="167"/>
      <c r="H35" s="140"/>
      <c r="I35" s="39"/>
      <c r="J35" s="40"/>
      <c r="K35" s="145"/>
      <c r="L35" s="146"/>
      <c r="M35" s="150"/>
      <c r="N35" s="14">
        <v>2144</v>
      </c>
      <c r="O35" s="152"/>
      <c r="P35" s="142"/>
      <c r="Q35" s="167"/>
      <c r="R35" s="140"/>
      <c r="S35" s="40"/>
      <c r="T35" s="40"/>
    </row>
    <row r="36" spans="1:28" ht="18.75" customHeight="1" x14ac:dyDescent="0.25">
      <c r="A36" s="143" t="s">
        <v>14</v>
      </c>
      <c r="B36" s="144"/>
      <c r="C36" s="149" t="s">
        <v>4</v>
      </c>
      <c r="D36" s="9" t="s">
        <v>90</v>
      </c>
      <c r="E36" s="151"/>
      <c r="F36" s="141"/>
      <c r="G36" s="166">
        <v>3</v>
      </c>
      <c r="H36" s="140">
        <f t="shared" ref="H36:H42" si="13">IF(E36="TR",F36,IF(E36="FA",F36+0.8,IF(E36="SP",F36+0.1,F36+0.6)))</f>
        <v>0.6</v>
      </c>
      <c r="I36" s="39"/>
      <c r="J36" s="40"/>
      <c r="K36" s="143" t="s">
        <v>14</v>
      </c>
      <c r="L36" s="144"/>
      <c r="M36" s="149" t="s">
        <v>4</v>
      </c>
      <c r="N36" s="9" t="s">
        <v>91</v>
      </c>
      <c r="O36" s="151"/>
      <c r="P36" s="141"/>
      <c r="Q36" s="166">
        <v>3</v>
      </c>
      <c r="R36" s="140">
        <f t="shared" si="12"/>
        <v>0.6</v>
      </c>
      <c r="S36" s="40"/>
      <c r="T36" s="40"/>
      <c r="V36" s="1">
        <f>IF(E36="TR",F36,IF(E36="FA",F36+0.8,IF(E36="SP",F36+0.1,F36+0.5)))</f>
        <v>0.5</v>
      </c>
      <c r="W36" s="1">
        <f>G36</f>
        <v>3</v>
      </c>
      <c r="X36" s="1">
        <f>IF(O36="TR",P36,IF(O36="FA",P36+0.8,IF(O36="SP",P36+0.1,P36+0.5)))</f>
        <v>0.5</v>
      </c>
      <c r="Y36" s="1">
        <f>Q36</f>
        <v>3</v>
      </c>
      <c r="AA36" s="1">
        <f>IF(OR(V36&gt;X17,E36="TR"),0,1)</f>
        <v>1</v>
      </c>
      <c r="AB36" s="1">
        <f>IF(OR(X36&gt;X17,O36="TR"),0,1)</f>
        <v>1</v>
      </c>
    </row>
    <row r="37" spans="1:28" ht="16.5" thickBot="1" x14ac:dyDescent="0.3">
      <c r="A37" s="145"/>
      <c r="B37" s="146"/>
      <c r="C37" s="150"/>
      <c r="D37" s="14">
        <v>2171</v>
      </c>
      <c r="E37" s="152"/>
      <c r="F37" s="142"/>
      <c r="G37" s="167"/>
      <c r="H37" s="140"/>
      <c r="I37" s="39"/>
      <c r="J37" s="40"/>
      <c r="K37" s="145"/>
      <c r="L37" s="146"/>
      <c r="M37" s="150"/>
      <c r="N37" s="14">
        <v>2241</v>
      </c>
      <c r="O37" s="152"/>
      <c r="P37" s="142"/>
      <c r="Q37" s="167"/>
      <c r="R37" s="140"/>
      <c r="S37" s="40"/>
      <c r="T37" s="40"/>
    </row>
    <row r="38" spans="1:28" ht="18" customHeight="1" x14ac:dyDescent="0.25">
      <c r="A38" s="175"/>
      <c r="B38" s="176"/>
      <c r="C38" s="149" t="s">
        <v>174</v>
      </c>
      <c r="D38" s="58" t="str">
        <f>IF(D39=1501,$AG$2,IF(D39=1502,$AG$3,IF(D39=1511,$AG$4,$AG$5)))</f>
        <v>Local Social Science</v>
      </c>
      <c r="E38" s="151"/>
      <c r="F38" s="141"/>
      <c r="G38" s="166">
        <v>3</v>
      </c>
      <c r="H38" s="140">
        <f t="shared" si="13"/>
        <v>0.6</v>
      </c>
      <c r="I38" s="39"/>
      <c r="J38" s="40"/>
      <c r="K38" s="143" t="s">
        <v>40</v>
      </c>
      <c r="L38" s="144"/>
      <c r="M38" s="149" t="s">
        <v>11</v>
      </c>
      <c r="N38" s="9" t="s">
        <v>50</v>
      </c>
      <c r="O38" s="151"/>
      <c r="P38" s="141"/>
      <c r="Q38" s="166">
        <v>3</v>
      </c>
      <c r="R38" s="140">
        <f t="shared" si="12"/>
        <v>0.6</v>
      </c>
      <c r="S38" s="38"/>
      <c r="T38" s="38"/>
      <c r="U38" s="10"/>
      <c r="V38" s="1">
        <f>IF(E38="TR",F38,IF(E38="FA",F38+0.8,IF(E38="SP",F38+0.1,F38+0.5)))</f>
        <v>0.5</v>
      </c>
      <c r="W38" s="1">
        <f>G38</f>
        <v>3</v>
      </c>
      <c r="X38" s="1">
        <f>IF(O38="TR",P38,IF(O38="FA",P38+0.8,IF(O38="SP",P38+0.1,P38+0.5)))</f>
        <v>0.5</v>
      </c>
      <c r="Y38" s="1">
        <f>Q38</f>
        <v>3</v>
      </c>
      <c r="AB38" s="1">
        <f>IF(X38&gt;V28,0,1)</f>
        <v>1</v>
      </c>
    </row>
    <row r="39" spans="1:28" ht="16.5" thickBot="1" x14ac:dyDescent="0.3">
      <c r="A39" s="177"/>
      <c r="B39" s="178"/>
      <c r="C39" s="150"/>
      <c r="D39" s="52">
        <v>1511</v>
      </c>
      <c r="E39" s="152"/>
      <c r="F39" s="142"/>
      <c r="G39" s="167"/>
      <c r="H39" s="140"/>
      <c r="I39" s="39"/>
      <c r="J39" s="40"/>
      <c r="K39" s="145"/>
      <c r="L39" s="146"/>
      <c r="M39" s="150"/>
      <c r="N39" s="14">
        <v>2161</v>
      </c>
      <c r="O39" s="152"/>
      <c r="P39" s="142"/>
      <c r="Q39" s="167"/>
      <c r="R39" s="140"/>
      <c r="S39" s="40"/>
      <c r="T39" s="40"/>
    </row>
    <row r="40" spans="1:28" ht="26.1" customHeight="1" x14ac:dyDescent="0.25">
      <c r="A40" s="189" t="s">
        <v>188</v>
      </c>
      <c r="B40" s="181"/>
      <c r="C40" s="149" t="s">
        <v>179</v>
      </c>
      <c r="D40" s="58" t="s">
        <v>189</v>
      </c>
      <c r="E40" s="151"/>
      <c r="F40" s="141"/>
      <c r="G40" s="170">
        <v>3</v>
      </c>
      <c r="H40" s="140">
        <f t="shared" si="13"/>
        <v>0.6</v>
      </c>
      <c r="I40" s="39"/>
      <c r="J40" s="40"/>
      <c r="K40" s="153" t="s">
        <v>150</v>
      </c>
      <c r="L40" s="267" t="s">
        <v>18</v>
      </c>
      <c r="M40" s="254" t="s">
        <v>10</v>
      </c>
      <c r="N40" s="71" t="s">
        <v>51</v>
      </c>
      <c r="O40" s="151"/>
      <c r="P40" s="141"/>
      <c r="Q40" s="170">
        <v>3</v>
      </c>
      <c r="R40" s="140">
        <f t="shared" si="12"/>
        <v>0.6</v>
      </c>
      <c r="S40" s="38"/>
      <c r="T40" s="38"/>
      <c r="U40" s="10"/>
      <c r="V40" s="1">
        <f>IF(E40="TR",F40,IF(E40="FA",F40+0.8,IF(E40="SP",F40+0.1,F40+0.5)))</f>
        <v>0.5</v>
      </c>
      <c r="W40" s="1">
        <f>G40</f>
        <v>3</v>
      </c>
      <c r="X40" s="1">
        <f>IF(O40="TR",P40,IF(O40="FA",P40+0.8,IF(O40="SP",P40+0.1,P40+0.5)))</f>
        <v>0.5</v>
      </c>
      <c r="Y40" s="1">
        <f>Q40</f>
        <v>3</v>
      </c>
      <c r="AB40" s="1">
        <f>IF(OR(X40&gt;V34,E34="TR"),0,1)</f>
        <v>1</v>
      </c>
    </row>
    <row r="41" spans="1:28" ht="26.1" customHeight="1" thickBot="1" x14ac:dyDescent="0.3">
      <c r="A41" s="190"/>
      <c r="B41" s="182"/>
      <c r="C41" s="150"/>
      <c r="D41" s="14">
        <v>2530</v>
      </c>
      <c r="E41" s="152"/>
      <c r="F41" s="142"/>
      <c r="G41" s="171"/>
      <c r="H41" s="140"/>
      <c r="I41" s="39"/>
      <c r="J41" s="41"/>
      <c r="K41" s="154"/>
      <c r="L41" s="268"/>
      <c r="M41" s="256"/>
      <c r="N41" s="72">
        <v>2240</v>
      </c>
      <c r="O41" s="152"/>
      <c r="P41" s="142"/>
      <c r="Q41" s="171"/>
      <c r="R41" s="140"/>
      <c r="S41" s="40"/>
      <c r="T41" s="40"/>
    </row>
    <row r="42" spans="1:28" ht="22.5" customHeight="1" thickBot="1" x14ac:dyDescent="0.3">
      <c r="A42" s="183" t="s">
        <v>131</v>
      </c>
      <c r="B42" s="184"/>
      <c r="C42" s="277" t="s">
        <v>141</v>
      </c>
      <c r="D42" s="278"/>
      <c r="E42" s="151"/>
      <c r="F42" s="141"/>
      <c r="G42" s="166">
        <v>1</v>
      </c>
      <c r="H42" s="140">
        <f t="shared" si="13"/>
        <v>0.6</v>
      </c>
      <c r="I42" s="38"/>
      <c r="J42" s="38"/>
      <c r="K42" s="183" t="s">
        <v>148</v>
      </c>
      <c r="L42" s="184"/>
      <c r="M42" s="260" t="s">
        <v>130</v>
      </c>
      <c r="N42" s="261"/>
      <c r="O42" s="151"/>
      <c r="P42" s="141"/>
      <c r="Q42" s="166">
        <v>1</v>
      </c>
      <c r="R42" s="140">
        <f t="shared" si="12"/>
        <v>0.6</v>
      </c>
      <c r="S42" s="38"/>
      <c r="T42" s="38"/>
      <c r="U42" s="10"/>
      <c r="V42" s="1">
        <f>IF(E42="TR",F42,IF(E42="FA",F42+0.8,IF(E42="SP",F42+0.1,F42+0.5)))</f>
        <v>0.5</v>
      </c>
      <c r="W42" s="1">
        <f>G42</f>
        <v>1</v>
      </c>
      <c r="X42" s="1">
        <f>IF(O42="TR",P42,IF(O42="FA",P42+0.8,IF(O42="SP",P42+0.1,P42+0.5)))</f>
        <v>0.5</v>
      </c>
      <c r="Y42" s="1">
        <f>Q42</f>
        <v>1</v>
      </c>
    </row>
    <row r="43" spans="1:28" ht="24" customHeight="1" thickBot="1" x14ac:dyDescent="0.3">
      <c r="A43" s="168" t="s">
        <v>132</v>
      </c>
      <c r="B43" s="169"/>
      <c r="C43" s="275" t="s">
        <v>129</v>
      </c>
      <c r="D43" s="276"/>
      <c r="E43" s="152"/>
      <c r="F43" s="142"/>
      <c r="G43" s="167"/>
      <c r="H43" s="140"/>
      <c r="I43" s="40"/>
      <c r="J43" s="40"/>
      <c r="K43" s="168" t="s">
        <v>187</v>
      </c>
      <c r="L43" s="169"/>
      <c r="M43" s="262" t="s">
        <v>186</v>
      </c>
      <c r="N43" s="263"/>
      <c r="O43" s="152"/>
      <c r="P43" s="142"/>
      <c r="Q43" s="167"/>
      <c r="R43" s="140"/>
      <c r="S43" s="40"/>
      <c r="T43" s="40"/>
    </row>
    <row r="44" spans="1:28" ht="21" customHeight="1" x14ac:dyDescent="0.25">
      <c r="A44" s="218" t="s">
        <v>190</v>
      </c>
      <c r="B44" s="218"/>
      <c r="C44" s="218"/>
      <c r="D44" s="218"/>
      <c r="E44" s="218"/>
      <c r="F44" s="218"/>
      <c r="G44" s="218"/>
      <c r="H44" s="218"/>
      <c r="I44" s="218"/>
      <c r="J44" s="218"/>
      <c r="K44" s="218"/>
      <c r="L44" s="218"/>
      <c r="M44" s="218"/>
      <c r="N44" s="218"/>
      <c r="O44" s="218"/>
      <c r="P44" s="218"/>
      <c r="Q44" s="218"/>
      <c r="R44" s="218"/>
    </row>
    <row r="45" spans="1:28" ht="21" customHeight="1" thickBot="1" x14ac:dyDescent="0.3">
      <c r="A45" s="137" t="s">
        <v>147</v>
      </c>
      <c r="B45" s="137"/>
      <c r="C45" s="132" t="s">
        <v>0</v>
      </c>
      <c r="D45" s="132"/>
      <c r="E45" s="42" t="s">
        <v>85</v>
      </c>
      <c r="F45" s="42" t="s">
        <v>80</v>
      </c>
      <c r="G45" s="6" t="s">
        <v>45</v>
      </c>
      <c r="H45" s="107" t="s">
        <v>166</v>
      </c>
      <c r="I45" s="13"/>
      <c r="J45" s="13"/>
      <c r="K45" s="137" t="s">
        <v>147</v>
      </c>
      <c r="L45" s="137"/>
      <c r="M45" s="257" t="s">
        <v>0</v>
      </c>
      <c r="N45" s="257"/>
      <c r="O45" s="42" t="s">
        <v>85</v>
      </c>
      <c r="P45" s="42" t="s">
        <v>80</v>
      </c>
      <c r="Q45" s="6" t="s">
        <v>45</v>
      </c>
      <c r="R45" s="107" t="s">
        <v>166</v>
      </c>
    </row>
    <row r="46" spans="1:28" ht="18" customHeight="1" x14ac:dyDescent="0.25">
      <c r="A46" s="157" t="s">
        <v>21</v>
      </c>
      <c r="B46" s="144" t="s">
        <v>13</v>
      </c>
      <c r="C46" s="149" t="s">
        <v>8</v>
      </c>
      <c r="D46" s="9" t="s">
        <v>52</v>
      </c>
      <c r="E46" s="151"/>
      <c r="F46" s="141"/>
      <c r="G46" s="166">
        <v>3</v>
      </c>
      <c r="H46" s="140">
        <f t="shared" ref="H46:H54" si="14">IF(E46="TR",F46,IF(E46="FA",F46+0.8,IF(E46="SP",F46+0.1,F46+0.6)))</f>
        <v>0.6</v>
      </c>
      <c r="I46" s="38"/>
      <c r="J46" s="38"/>
      <c r="K46" s="143" t="s">
        <v>24</v>
      </c>
      <c r="L46" s="144"/>
      <c r="M46" s="149" t="s">
        <v>10</v>
      </c>
      <c r="N46" s="9" t="s">
        <v>62</v>
      </c>
      <c r="O46" s="151"/>
      <c r="P46" s="141"/>
      <c r="Q46" s="166">
        <v>3</v>
      </c>
      <c r="R46" s="140">
        <f t="shared" ref="R46:R54" si="15">IF(O46="TR",P46,IF(O46="FA",P46+0.8,IF(O46="SP",P46+0.1,P46+0.6)))</f>
        <v>0.6</v>
      </c>
      <c r="S46" s="38"/>
      <c r="T46" s="38"/>
      <c r="U46" s="10"/>
      <c r="V46" s="1">
        <f>IF(E46="TR",F46,IF(E46="FA",F46+0.8,IF(E46="SP",F46+0.1,F46+0.5)))</f>
        <v>0.5</v>
      </c>
      <c r="W46" s="1">
        <f>G46</f>
        <v>3</v>
      </c>
      <c r="X46" s="1">
        <f>IF(O46="TR",P46,IF(O46="FA",P46+0.8,IF(O46="SP",P46+0.1,P46+0.5)))</f>
        <v>0.5</v>
      </c>
      <c r="Y46" s="1">
        <f>Q46</f>
        <v>3</v>
      </c>
      <c r="AA46" s="1">
        <f>IF(OR(V46&gt;V36,E36="TR"),0,1)+IF(OR(V46&gt;X13,O13="TR"),0,1)</f>
        <v>2</v>
      </c>
      <c r="AB46" s="1">
        <f>IF(OR(X46&gt;V46,AND(E46="SUM",O46="SUM",F46=P46)),0,1)</f>
        <v>1</v>
      </c>
    </row>
    <row r="47" spans="1:28" ht="16.5" thickBot="1" x14ac:dyDescent="0.3">
      <c r="A47" s="158"/>
      <c r="B47" s="146"/>
      <c r="C47" s="150"/>
      <c r="D47" s="15">
        <v>3111</v>
      </c>
      <c r="E47" s="152"/>
      <c r="F47" s="142"/>
      <c r="G47" s="167"/>
      <c r="H47" s="140"/>
      <c r="I47" s="39"/>
      <c r="J47" s="40"/>
      <c r="K47" s="145"/>
      <c r="L47" s="146"/>
      <c r="M47" s="150"/>
      <c r="N47" s="15">
        <v>3112</v>
      </c>
      <c r="O47" s="152"/>
      <c r="P47" s="142"/>
      <c r="Q47" s="167"/>
      <c r="R47" s="140"/>
      <c r="S47" s="40"/>
      <c r="T47" s="40"/>
    </row>
    <row r="48" spans="1:28" ht="16.5" thickBot="1" x14ac:dyDescent="0.3">
      <c r="A48" s="157" t="s">
        <v>18</v>
      </c>
      <c r="B48" s="164" t="s">
        <v>14</v>
      </c>
      <c r="C48" s="149" t="s">
        <v>8</v>
      </c>
      <c r="D48" s="103" t="s">
        <v>53</v>
      </c>
      <c r="E48" s="151"/>
      <c r="F48" s="141"/>
      <c r="G48" s="166">
        <v>3</v>
      </c>
      <c r="H48" s="140">
        <f t="shared" si="14"/>
        <v>0.6</v>
      </c>
      <c r="I48" s="38"/>
      <c r="J48" s="38"/>
      <c r="K48" s="12" t="s">
        <v>25</v>
      </c>
      <c r="L48" s="157" t="s">
        <v>21</v>
      </c>
      <c r="M48" s="149" t="s">
        <v>10</v>
      </c>
      <c r="N48" s="9" t="s">
        <v>61</v>
      </c>
      <c r="O48" s="151"/>
      <c r="P48" s="141"/>
      <c r="Q48" s="166">
        <v>3</v>
      </c>
      <c r="R48" s="140">
        <f t="shared" si="15"/>
        <v>0.6</v>
      </c>
      <c r="S48" s="38"/>
      <c r="T48" s="38"/>
      <c r="U48" s="10"/>
      <c r="V48" s="1">
        <f>IF(E48="TR",F48,IF(E48="FA",F48+0.8,IF(E48="SP",F48+0.1,F48+0.5)))</f>
        <v>0.5</v>
      </c>
      <c r="W48" s="1">
        <f>G48</f>
        <v>3</v>
      </c>
      <c r="X48" s="1">
        <f>IF(O48="TR",P48,IF(O48="FA",P48+0.8,IF(O48="SP",P48+0.1,P48+0.5)))</f>
        <v>0.5</v>
      </c>
      <c r="Y48" s="1">
        <f>Q48</f>
        <v>3</v>
      </c>
      <c r="AA48" s="1">
        <f>IF(V48&gt;V34,0,1)+IF(V48&gt;X17,0,1)</f>
        <v>2</v>
      </c>
      <c r="AB48" s="1">
        <f>IF(OR(X48&gt;V48,AND(E48="SUM",O48="SUM",F48=P48)),0,1)+IF(X48&gt;X40,0,1)+IF(X48&gt;V36,0,1)</f>
        <v>3</v>
      </c>
    </row>
    <row r="49" spans="1:28" ht="16.5" thickBot="1" x14ac:dyDescent="0.3">
      <c r="A49" s="158"/>
      <c r="B49" s="165"/>
      <c r="C49" s="150"/>
      <c r="D49" s="105">
        <v>3121</v>
      </c>
      <c r="E49" s="152"/>
      <c r="F49" s="142"/>
      <c r="G49" s="167"/>
      <c r="H49" s="140"/>
      <c r="I49" s="39"/>
      <c r="J49" s="40"/>
      <c r="K49" s="25" t="s">
        <v>43</v>
      </c>
      <c r="L49" s="158"/>
      <c r="M49" s="150"/>
      <c r="N49" s="15">
        <v>3122</v>
      </c>
      <c r="O49" s="152"/>
      <c r="P49" s="142"/>
      <c r="Q49" s="167"/>
      <c r="R49" s="140"/>
      <c r="S49" s="40"/>
      <c r="T49" s="40"/>
    </row>
    <row r="50" spans="1:28" ht="32.25" thickBot="1" x14ac:dyDescent="0.3">
      <c r="A50" s="84" t="s">
        <v>156</v>
      </c>
      <c r="B50" s="179" t="s">
        <v>21</v>
      </c>
      <c r="C50" s="149" t="s">
        <v>8</v>
      </c>
      <c r="D50" s="9" t="s">
        <v>54</v>
      </c>
      <c r="E50" s="151"/>
      <c r="F50" s="141"/>
      <c r="G50" s="166">
        <v>3</v>
      </c>
      <c r="H50" s="140">
        <f t="shared" si="14"/>
        <v>0.6</v>
      </c>
      <c r="I50" s="38"/>
      <c r="J50" s="38"/>
      <c r="K50" s="155" t="s">
        <v>25</v>
      </c>
      <c r="L50" s="156"/>
      <c r="M50" s="149" t="s">
        <v>10</v>
      </c>
      <c r="N50" s="9" t="s">
        <v>58</v>
      </c>
      <c r="O50" s="151"/>
      <c r="P50" s="141"/>
      <c r="Q50" s="166">
        <v>3</v>
      </c>
      <c r="R50" s="140">
        <f t="shared" si="15"/>
        <v>0.6</v>
      </c>
      <c r="S50" s="38"/>
      <c r="T50" s="38"/>
      <c r="U50" s="10"/>
      <c r="V50" s="1">
        <f>IF(E50="TR",F50,IF(E50="FA",F50+0.8,IF(E50="SP",F50+0.1,F50+0.5)))</f>
        <v>0.5</v>
      </c>
      <c r="W50" s="1">
        <f>G50</f>
        <v>3</v>
      </c>
      <c r="X50" s="1">
        <f>IF(O50="TR",P50,IF(O50="FA",P50+0.8,IF(O50="SP",P50+0.1,P50+0.5)))</f>
        <v>0.5</v>
      </c>
      <c r="Y50" s="1">
        <f>Q50</f>
        <v>3</v>
      </c>
      <c r="AA50" s="1">
        <f>IF(AND(V50&gt;V13,V50&gt;V17),0,1)+IF(V50&gt;X34,0,1)+IF(V50&gt;V36,0,1)</f>
        <v>3</v>
      </c>
      <c r="AB50" s="1">
        <f>IF(X50&gt;V48,0,1)+IF(X50&gt;X36,0,1)</f>
        <v>2</v>
      </c>
    </row>
    <row r="51" spans="1:28" ht="16.5" thickBot="1" x14ac:dyDescent="0.3">
      <c r="A51" s="25" t="s">
        <v>22</v>
      </c>
      <c r="B51" s="180"/>
      <c r="C51" s="150"/>
      <c r="D51" s="15">
        <v>3161</v>
      </c>
      <c r="E51" s="152"/>
      <c r="F51" s="142"/>
      <c r="G51" s="167"/>
      <c r="H51" s="140"/>
      <c r="I51" s="39"/>
      <c r="J51" s="40"/>
      <c r="K51" s="155" t="s">
        <v>20</v>
      </c>
      <c r="L51" s="156"/>
      <c r="M51" s="150"/>
      <c r="N51" s="15">
        <v>3114</v>
      </c>
      <c r="O51" s="152"/>
      <c r="P51" s="142"/>
      <c r="Q51" s="167"/>
      <c r="R51" s="140"/>
      <c r="S51" s="40"/>
      <c r="T51" s="40"/>
    </row>
    <row r="52" spans="1:28" ht="16.5" thickBot="1" x14ac:dyDescent="0.3">
      <c r="A52" s="25" t="s">
        <v>23</v>
      </c>
      <c r="B52" s="208" t="s">
        <v>28</v>
      </c>
      <c r="C52" s="149" t="s">
        <v>8</v>
      </c>
      <c r="D52" s="9" t="s">
        <v>55</v>
      </c>
      <c r="E52" s="151"/>
      <c r="F52" s="141"/>
      <c r="G52" s="166">
        <v>2</v>
      </c>
      <c r="H52" s="140">
        <f t="shared" si="14"/>
        <v>0.6</v>
      </c>
      <c r="I52" s="38"/>
      <c r="J52" s="38"/>
      <c r="K52" s="25" t="s">
        <v>23</v>
      </c>
      <c r="L52" s="26" t="s">
        <v>22</v>
      </c>
      <c r="M52" s="149" t="s">
        <v>10</v>
      </c>
      <c r="N52" s="16" t="s">
        <v>59</v>
      </c>
      <c r="O52" s="151"/>
      <c r="P52" s="141"/>
      <c r="Q52" s="166">
        <v>2</v>
      </c>
      <c r="R52" s="140">
        <f t="shared" si="15"/>
        <v>0.6</v>
      </c>
      <c r="S52" s="38"/>
      <c r="T52" s="38"/>
      <c r="U52" s="10"/>
      <c r="V52" s="1">
        <f>IF(E52="TR",F52,IF(E52="FA",F52+0.8,IF(E52="SP",F52+0.1,F52+0.5)))</f>
        <v>0.5</v>
      </c>
      <c r="W52" s="1">
        <f>G52</f>
        <v>2</v>
      </c>
      <c r="X52" s="1">
        <f>IF(O52="TR",P52,IF(O52="FA",P52+0.8,IF(O52="SP",P52+0.1,P52+0.5)))</f>
        <v>0.5</v>
      </c>
      <c r="Y52" s="1">
        <f>Q52</f>
        <v>2</v>
      </c>
      <c r="AA52" s="1">
        <f>IF(V52&gt;X38,0,1)+IF(OR(V52&gt;X36,O36="TR"),0,1)+IF(V52=V54,0,1)</f>
        <v>2</v>
      </c>
      <c r="AB52" s="1">
        <f>IF(X52&gt;X38,0,1)+IF(X52&gt;X31,0,1)+IF(X52&gt;X34,0,1)+IF(X52&gt;X28,0,1)</f>
        <v>4</v>
      </c>
    </row>
    <row r="53" spans="1:28" ht="16.5" thickBot="1" x14ac:dyDescent="0.3">
      <c r="A53" s="25" t="s">
        <v>20</v>
      </c>
      <c r="B53" s="209"/>
      <c r="C53" s="150"/>
      <c r="D53" s="15">
        <v>3171</v>
      </c>
      <c r="E53" s="152"/>
      <c r="F53" s="142"/>
      <c r="G53" s="167"/>
      <c r="H53" s="140"/>
      <c r="I53" s="39"/>
      <c r="J53" s="40"/>
      <c r="K53" s="25" t="s">
        <v>26</v>
      </c>
      <c r="L53" s="27" t="s">
        <v>36</v>
      </c>
      <c r="M53" s="150"/>
      <c r="N53" s="17">
        <v>3156</v>
      </c>
      <c r="O53" s="152"/>
      <c r="P53" s="142"/>
      <c r="Q53" s="167"/>
      <c r="R53" s="140"/>
      <c r="S53" s="40"/>
      <c r="T53" s="40"/>
    </row>
    <row r="54" spans="1:28" ht="23.45" customHeight="1" thickBot="1" x14ac:dyDescent="0.3">
      <c r="A54" s="157" t="s">
        <v>16</v>
      </c>
      <c r="B54" s="206" t="s">
        <v>42</v>
      </c>
      <c r="C54" s="149" t="s">
        <v>8</v>
      </c>
      <c r="D54" s="9" t="s">
        <v>56</v>
      </c>
      <c r="E54" s="151"/>
      <c r="F54" s="141"/>
      <c r="G54" s="166">
        <v>2</v>
      </c>
      <c r="H54" s="140">
        <f t="shared" si="14"/>
        <v>0.6</v>
      </c>
      <c r="I54" s="38"/>
      <c r="J54" s="38"/>
      <c r="K54" s="25" t="s">
        <v>22</v>
      </c>
      <c r="L54" s="27" t="s">
        <v>27</v>
      </c>
      <c r="M54" s="149" t="s">
        <v>10</v>
      </c>
      <c r="N54" s="9" t="s">
        <v>57</v>
      </c>
      <c r="O54" s="151"/>
      <c r="P54" s="141"/>
      <c r="Q54" s="166">
        <v>2</v>
      </c>
      <c r="R54" s="140">
        <f t="shared" si="15"/>
        <v>0.6</v>
      </c>
      <c r="S54" s="38"/>
      <c r="T54" s="38"/>
      <c r="U54" s="10"/>
      <c r="V54" s="1">
        <f>IF(E54="TR",F54,IF(E54="FA",F54+0.8,IF(E54="SP",F54+0.1,F54+0.5)))</f>
        <v>0.5</v>
      </c>
      <c r="W54" s="1">
        <f>G54</f>
        <v>2</v>
      </c>
      <c r="X54" s="1">
        <f>IF(O54="TR",P54,IF(O54="FA",P54+0.8,IF(O54="SP",P54+0.1,P54+0.5)))</f>
        <v>0.5</v>
      </c>
      <c r="Y54" s="1">
        <f>Q54</f>
        <v>2</v>
      </c>
      <c r="AA54" s="1">
        <f>IF(V52=V54,0,1)+IF(V54&gt;V31,0,1)</f>
        <v>1</v>
      </c>
      <c r="AB54" s="1">
        <f>IF(X54&gt;X34,0,1)+IF(X54&gt;V54,0,1)+IF(X54&gt;V50,0,1)+IF(X54&gt;V48,0,1)</f>
        <v>4</v>
      </c>
    </row>
    <row r="55" spans="1:28" ht="16.5" thickBot="1" x14ac:dyDescent="0.3">
      <c r="A55" s="158"/>
      <c r="B55" s="207"/>
      <c r="C55" s="150"/>
      <c r="D55" s="15" t="s">
        <v>12</v>
      </c>
      <c r="E55" s="152"/>
      <c r="F55" s="142"/>
      <c r="G55" s="167"/>
      <c r="H55" s="140"/>
      <c r="I55" s="39"/>
      <c r="J55" s="40"/>
      <c r="K55" s="25" t="s">
        <v>28</v>
      </c>
      <c r="L55" s="27" t="s">
        <v>25</v>
      </c>
      <c r="M55" s="150"/>
      <c r="N55" s="15">
        <v>3152</v>
      </c>
      <c r="O55" s="152"/>
      <c r="P55" s="142"/>
      <c r="Q55" s="167"/>
      <c r="R55" s="140"/>
      <c r="S55" s="40"/>
      <c r="T55" s="40"/>
    </row>
    <row r="56" spans="1:28" ht="18" customHeight="1" thickBot="1" x14ac:dyDescent="0.3">
      <c r="A56" s="202" t="s">
        <v>83</v>
      </c>
      <c r="B56" s="186"/>
      <c r="C56" s="212" t="s">
        <v>136</v>
      </c>
      <c r="D56" s="213"/>
      <c r="E56" s="151"/>
      <c r="F56" s="141"/>
      <c r="G56" s="166">
        <v>3</v>
      </c>
      <c r="H56" s="140">
        <f>IF(E56="TR",F56,IF(E56="FA",F56+0.8,IF(E56="SP",F56+0.1,F56+0.6)))</f>
        <v>0.6</v>
      </c>
      <c r="I56" s="38"/>
      <c r="J56" s="38"/>
      <c r="K56" s="251" t="s">
        <v>149</v>
      </c>
      <c r="L56" s="12" t="s">
        <v>21</v>
      </c>
      <c r="M56" s="254" t="s">
        <v>10</v>
      </c>
      <c r="N56" s="71" t="s">
        <v>60</v>
      </c>
      <c r="O56" s="151"/>
      <c r="P56" s="141"/>
      <c r="Q56" s="166">
        <v>3</v>
      </c>
      <c r="R56" s="140">
        <f>IF(O56="TR",P56,IF(O56="FA",P56+0.8,IF(O56="SP",P56+0.1,P56+0.6)))</f>
        <v>0.6</v>
      </c>
      <c r="S56" s="38"/>
      <c r="T56" s="38"/>
      <c r="U56" s="10"/>
      <c r="V56" s="1">
        <f>IF(E56="TR",F56,IF(E56="FA",F56+0.8,IF(E56="SP",F56+0.1,F56+0.5)))</f>
        <v>0.5</v>
      </c>
      <c r="W56" s="1">
        <f>G56</f>
        <v>3</v>
      </c>
      <c r="X56" s="1">
        <f>IF(O56="TR",P56,IF(O56="FA",P56+0.8,IF(O56="SP",P56+0.1,P56+0.5)))</f>
        <v>0.5</v>
      </c>
      <c r="Y56" s="1">
        <f>Q56</f>
        <v>3</v>
      </c>
      <c r="AB56" s="1">
        <f>IF(X56&gt;V36,0,1)+IF(X56&gt;V46,0,1)+IF(OR(X56=X50, X56&gt;X50),0,1)</f>
        <v>2</v>
      </c>
    </row>
    <row r="57" spans="1:28" ht="18" customHeight="1" thickBot="1" x14ac:dyDescent="0.3">
      <c r="A57" s="203"/>
      <c r="B57" s="204"/>
      <c r="C57" s="214"/>
      <c r="D57" s="215"/>
      <c r="E57" s="216"/>
      <c r="F57" s="172"/>
      <c r="G57" s="236"/>
      <c r="H57" s="140"/>
      <c r="I57" s="38"/>
      <c r="J57" s="38"/>
      <c r="K57" s="252"/>
      <c r="L57" s="25" t="s">
        <v>24</v>
      </c>
      <c r="M57" s="255"/>
      <c r="N57" s="74"/>
      <c r="O57" s="216"/>
      <c r="P57" s="172"/>
      <c r="Q57" s="236"/>
      <c r="R57" s="140"/>
      <c r="S57" s="38"/>
      <c r="T57" s="38"/>
      <c r="U57" s="10"/>
    </row>
    <row r="58" spans="1:28" ht="18" customHeight="1" thickBot="1" x14ac:dyDescent="0.3">
      <c r="A58" s="205"/>
      <c r="B58" s="188"/>
      <c r="C58" s="210" t="s">
        <v>173</v>
      </c>
      <c r="D58" s="211"/>
      <c r="E58" s="152"/>
      <c r="F58" s="142"/>
      <c r="G58" s="167"/>
      <c r="H58" s="140"/>
      <c r="I58" s="39"/>
      <c r="J58" s="41"/>
      <c r="K58" s="253"/>
      <c r="L58" s="33" t="s">
        <v>30</v>
      </c>
      <c r="M58" s="256"/>
      <c r="N58" s="73">
        <v>3116</v>
      </c>
      <c r="O58" s="152"/>
      <c r="P58" s="142"/>
      <c r="Q58" s="167"/>
      <c r="R58" s="140"/>
      <c r="S58" s="40"/>
      <c r="T58" s="40"/>
    </row>
    <row r="60" spans="1:28" x14ac:dyDescent="0.25">
      <c r="A60" s="218" t="s">
        <v>191</v>
      </c>
      <c r="B60" s="218"/>
      <c r="C60" s="218"/>
      <c r="D60" s="218"/>
      <c r="E60" s="218"/>
      <c r="F60" s="218"/>
      <c r="G60" s="218"/>
      <c r="H60" s="218"/>
      <c r="I60" s="218"/>
      <c r="J60" s="218"/>
      <c r="K60" s="218"/>
      <c r="L60" s="218"/>
      <c r="M60" s="218"/>
      <c r="N60" s="218"/>
      <c r="O60" s="218"/>
      <c r="P60" s="218"/>
      <c r="Q60" s="218"/>
      <c r="R60" s="218"/>
    </row>
    <row r="61" spans="1:28" ht="21" customHeight="1" thickBot="1" x14ac:dyDescent="0.3">
      <c r="A61" s="137" t="s">
        <v>147</v>
      </c>
      <c r="B61" s="137"/>
      <c r="C61" s="132" t="s">
        <v>0</v>
      </c>
      <c r="D61" s="132"/>
      <c r="E61" s="42" t="s">
        <v>85</v>
      </c>
      <c r="F61" s="42" t="s">
        <v>80</v>
      </c>
      <c r="G61" s="6" t="s">
        <v>45</v>
      </c>
      <c r="H61" s="107" t="s">
        <v>166</v>
      </c>
      <c r="I61" s="13"/>
      <c r="J61" s="13"/>
      <c r="K61" s="137" t="s">
        <v>147</v>
      </c>
      <c r="L61" s="137"/>
      <c r="M61" s="257" t="s">
        <v>0</v>
      </c>
      <c r="N61" s="257"/>
      <c r="O61" s="42" t="s">
        <v>85</v>
      </c>
      <c r="P61" s="42" t="s">
        <v>80</v>
      </c>
      <c r="Q61" s="6" t="s">
        <v>45</v>
      </c>
      <c r="R61" s="107" t="s">
        <v>166</v>
      </c>
    </row>
    <row r="62" spans="1:28" ht="15" customHeight="1" x14ac:dyDescent="0.25">
      <c r="A62" s="12" t="s">
        <v>24</v>
      </c>
      <c r="C62" s="54" t="s">
        <v>72</v>
      </c>
      <c r="D62" s="9" t="s">
        <v>65</v>
      </c>
      <c r="E62" s="151"/>
      <c r="F62" s="151"/>
      <c r="G62" s="241">
        <v>2</v>
      </c>
      <c r="H62" s="140">
        <f>IF(E62="TR",F62,IF(E62="FA",F62+0.8,IF(E62="SP",F62+0.1,F62+0.6)))</f>
        <v>0.6</v>
      </c>
      <c r="I62" s="13"/>
      <c r="J62" s="13"/>
      <c r="K62" s="54" t="s">
        <v>72</v>
      </c>
      <c r="L62" s="57"/>
      <c r="M62" s="56" t="s">
        <v>75</v>
      </c>
      <c r="N62" s="9" t="s">
        <v>77</v>
      </c>
      <c r="O62" s="151"/>
      <c r="P62" s="151"/>
      <c r="Q62" s="241">
        <v>2</v>
      </c>
      <c r="R62" s="140">
        <f>IF(O62="TR",P62,IF(O62="FA",P62+0.8,IF(O62="SP",P62+0.1,P62+0.6)))</f>
        <v>0.6</v>
      </c>
      <c r="V62" s="1">
        <f>IF(E62="TR",F62,IF(E62="FA",F62+0.8,IF(E62="SP",F62+0.1,F62+0.5)))</f>
        <v>0.5</v>
      </c>
      <c r="W62" s="1">
        <f>G62</f>
        <v>2</v>
      </c>
      <c r="X62" s="1">
        <f>IF(O62="TR",P62,IF(O62="FA",P62+0.8,IF(O62="SP",P62+0.1,P62+0.5)))</f>
        <v>0.5</v>
      </c>
      <c r="Y62" s="1">
        <f>Q62</f>
        <v>2</v>
      </c>
      <c r="AA62" s="1">
        <f>IF(V62&gt;X52,0,1)+IF(V62&gt;V54,0,1)+IF(OR(V62=X54,V62&gt;X54),0,1)+IF(OR(V62=V69,V62&gt;V69),0,1)+IF(V62&gt;V50,0,1)+IF(V62&gt;V46,0,1)+IF(V62&gt;AA50,0,1)</f>
        <v>5</v>
      </c>
      <c r="AB62" s="1">
        <f>IF(X62&gt;V62,0,1)</f>
        <v>1</v>
      </c>
    </row>
    <row r="63" spans="1:28" ht="15" customHeight="1" x14ac:dyDescent="0.25">
      <c r="A63" s="95" t="s">
        <v>27</v>
      </c>
      <c r="B63" s="59" t="s">
        <v>39</v>
      </c>
      <c r="C63" s="60" t="s">
        <v>73</v>
      </c>
      <c r="D63" s="61" t="s">
        <v>86</v>
      </c>
      <c r="E63" s="242"/>
      <c r="F63" s="242"/>
      <c r="G63" s="242"/>
      <c r="H63" s="140"/>
      <c r="I63" s="13"/>
      <c r="J63" s="13"/>
      <c r="K63" s="50" t="s">
        <v>73</v>
      </c>
      <c r="L63" s="47"/>
      <c r="M63" s="60" t="s">
        <v>144</v>
      </c>
      <c r="N63" s="61" t="s">
        <v>100</v>
      </c>
      <c r="O63" s="258"/>
      <c r="P63" s="258"/>
      <c r="Q63" s="258"/>
      <c r="R63" s="140"/>
    </row>
    <row r="64" spans="1:28" ht="15" customHeight="1" x14ac:dyDescent="0.25">
      <c r="A64" s="95" t="s">
        <v>30</v>
      </c>
      <c r="B64" s="65" t="s">
        <v>68</v>
      </c>
      <c r="C64" s="64" t="s">
        <v>74</v>
      </c>
      <c r="D64" s="63" t="s">
        <v>87</v>
      </c>
      <c r="E64" s="242"/>
      <c r="F64" s="242"/>
      <c r="G64" s="242"/>
      <c r="H64" s="140"/>
      <c r="I64" s="13"/>
      <c r="J64" s="13"/>
      <c r="K64" s="66" t="s">
        <v>74</v>
      </c>
      <c r="L64" s="48"/>
      <c r="M64" s="64" t="s">
        <v>76</v>
      </c>
      <c r="N64" s="63" t="s">
        <v>99</v>
      </c>
      <c r="O64" s="258"/>
      <c r="P64" s="258"/>
      <c r="Q64" s="258"/>
      <c r="R64" s="140"/>
    </row>
    <row r="65" spans="1:29" ht="15" customHeight="1" x14ac:dyDescent="0.25">
      <c r="A65" s="43" t="s">
        <v>29</v>
      </c>
      <c r="B65" s="100" t="s">
        <v>134</v>
      </c>
      <c r="C65" s="101" t="s">
        <v>133</v>
      </c>
      <c r="D65" s="102" t="s">
        <v>139</v>
      </c>
      <c r="E65" s="242"/>
      <c r="F65" s="242"/>
      <c r="G65" s="242"/>
      <c r="H65" s="140"/>
      <c r="I65" s="38"/>
      <c r="J65" s="38"/>
      <c r="K65" s="99" t="s">
        <v>133</v>
      </c>
      <c r="L65" s="49"/>
      <c r="M65" s="55" t="s">
        <v>135</v>
      </c>
      <c r="N65" s="46" t="s">
        <v>140</v>
      </c>
      <c r="O65" s="258"/>
      <c r="P65" s="258"/>
      <c r="Q65" s="258"/>
      <c r="R65" s="140"/>
      <c r="S65" s="38"/>
      <c r="T65" s="38"/>
      <c r="U65" s="10"/>
    </row>
    <row r="66" spans="1:29" ht="15" customHeight="1" x14ac:dyDescent="0.25">
      <c r="A66" s="43" t="s">
        <v>28</v>
      </c>
      <c r="B66" s="112" t="s">
        <v>168</v>
      </c>
      <c r="C66" s="113" t="s">
        <v>169</v>
      </c>
      <c r="D66" s="114" t="s">
        <v>170</v>
      </c>
      <c r="E66" s="242"/>
      <c r="F66" s="242"/>
      <c r="G66" s="242"/>
      <c r="H66" s="140"/>
      <c r="I66" s="39"/>
      <c r="J66" s="40"/>
      <c r="K66" s="115" t="s">
        <v>169</v>
      </c>
      <c r="L66" s="116"/>
      <c r="M66" s="117" t="s">
        <v>171</v>
      </c>
      <c r="N66" s="118" t="s">
        <v>172</v>
      </c>
      <c r="O66" s="258"/>
      <c r="P66" s="258"/>
      <c r="Q66" s="258"/>
      <c r="R66" s="140"/>
      <c r="S66" s="40"/>
      <c r="T66" s="40"/>
      <c r="U66" s="42"/>
    </row>
    <row r="67" spans="1:29" ht="15" customHeight="1" x14ac:dyDescent="0.25">
      <c r="A67" s="45" t="s">
        <v>37</v>
      </c>
      <c r="B67" s="96"/>
      <c r="C67" s="97"/>
      <c r="D67" s="98"/>
      <c r="E67" s="242"/>
      <c r="F67" s="242"/>
      <c r="G67" s="242"/>
      <c r="H67" s="140"/>
      <c r="I67" s="39"/>
      <c r="J67" s="40"/>
      <c r="K67" s="66"/>
      <c r="L67" s="48"/>
      <c r="M67" s="97"/>
      <c r="N67" s="98"/>
      <c r="O67" s="258"/>
      <c r="P67" s="258"/>
      <c r="Q67" s="258"/>
      <c r="R67" s="140"/>
      <c r="S67" s="40"/>
      <c r="T67" s="40"/>
    </row>
    <row r="68" spans="1:29" ht="15" customHeight="1" thickBot="1" x14ac:dyDescent="0.3">
      <c r="A68" s="44" t="s">
        <v>38</v>
      </c>
      <c r="B68" s="62"/>
      <c r="C68" s="55"/>
      <c r="D68" s="46"/>
      <c r="E68" s="243"/>
      <c r="F68" s="243"/>
      <c r="G68" s="243"/>
      <c r="H68" s="140"/>
      <c r="I68" s="39"/>
      <c r="J68" s="40"/>
      <c r="K68" s="51"/>
      <c r="L68" s="49"/>
      <c r="M68" s="55"/>
      <c r="N68" s="46"/>
      <c r="O68" s="259"/>
      <c r="P68" s="259"/>
      <c r="Q68" s="259"/>
      <c r="R68" s="140"/>
      <c r="S68" s="40"/>
      <c r="T68" s="40"/>
    </row>
    <row r="69" spans="1:29" ht="15.95" customHeight="1" thickBot="1" x14ac:dyDescent="0.3">
      <c r="A69" s="25" t="s">
        <v>24</v>
      </c>
      <c r="B69" s="76"/>
      <c r="C69" s="149" t="s">
        <v>8</v>
      </c>
      <c r="D69" s="9" t="s">
        <v>64</v>
      </c>
      <c r="E69" s="151"/>
      <c r="F69" s="141"/>
      <c r="G69" s="166">
        <v>2</v>
      </c>
      <c r="H69" s="140">
        <f t="shared" ref="H69:H75" si="16">IF(E69="TR",F69,IF(E69="FA",F69+0.8,IF(E69="SP",F69+0.1,F69+0.6)))</f>
        <v>0.6</v>
      </c>
      <c r="I69" s="38"/>
      <c r="J69" s="38"/>
      <c r="K69" s="228" t="s">
        <v>83</v>
      </c>
      <c r="L69" s="229"/>
      <c r="M69" s="212" t="s">
        <v>136</v>
      </c>
      <c r="N69" s="213"/>
      <c r="O69" s="151"/>
      <c r="P69" s="141"/>
      <c r="Q69" s="166">
        <v>3</v>
      </c>
      <c r="R69" s="140">
        <f t="shared" ref="R69:R75" si="17">IF(O69="TR",P69,IF(O69="FA",P69+0.8,IF(O69="SP",P69+0.1,P69+0.6)))</f>
        <v>0.6</v>
      </c>
      <c r="S69" s="38"/>
      <c r="T69" s="38"/>
      <c r="U69" s="10"/>
      <c r="V69" s="1">
        <f>IF(E69="TR",F69,IF(E69="FA",F69+0.8,IF(E69="SP",F69+0.1,F69+0.5)))</f>
        <v>0.5</v>
      </c>
      <c r="W69" s="1">
        <f>G69</f>
        <v>2</v>
      </c>
      <c r="X69" s="1">
        <f>IF(O69="TR",P69,IF(O69="FA",P69+0.8,IF(O69="SP",P69+0.1,P69+0.5)))</f>
        <v>0.5</v>
      </c>
      <c r="Y69" s="1">
        <f>Q69</f>
        <v>3</v>
      </c>
      <c r="AA69" s="1">
        <f>IF(V69&gt;V46,0,1)+IF(V69&gt;V54,0,1)+IF(V69&gt;X50,0,1)</f>
        <v>3</v>
      </c>
    </row>
    <row r="70" spans="1:29" ht="16.5" customHeight="1" thickBot="1" x14ac:dyDescent="0.3">
      <c r="A70" s="25" t="s">
        <v>28</v>
      </c>
      <c r="B70" s="34" t="s">
        <v>30</v>
      </c>
      <c r="C70" s="150"/>
      <c r="D70" s="15">
        <v>3251</v>
      </c>
      <c r="E70" s="152"/>
      <c r="F70" s="142"/>
      <c r="G70" s="167"/>
      <c r="H70" s="140"/>
      <c r="I70" s="39"/>
      <c r="J70" s="40"/>
      <c r="K70" s="230"/>
      <c r="L70" s="231"/>
      <c r="M70" s="210" t="s">
        <v>173</v>
      </c>
      <c r="N70" s="211"/>
      <c r="O70" s="152"/>
      <c r="P70" s="142"/>
      <c r="Q70" s="167"/>
      <c r="R70" s="140"/>
      <c r="S70" s="40"/>
      <c r="T70" s="40"/>
    </row>
    <row r="71" spans="1:29" ht="19.7" customHeight="1" x14ac:dyDescent="0.25">
      <c r="A71" s="185"/>
      <c r="B71" s="186"/>
      <c r="C71" s="175" t="s">
        <v>101</v>
      </c>
      <c r="D71" s="176"/>
      <c r="E71" s="141"/>
      <c r="F71" s="141"/>
      <c r="G71" s="166">
        <v>3</v>
      </c>
      <c r="H71" s="140">
        <f t="shared" si="16"/>
        <v>0.6</v>
      </c>
      <c r="I71" s="39"/>
      <c r="J71" s="40"/>
      <c r="K71" s="228" t="s">
        <v>84</v>
      </c>
      <c r="L71" s="229"/>
      <c r="M71" s="212" t="s">
        <v>136</v>
      </c>
      <c r="N71" s="213"/>
      <c r="O71" s="151"/>
      <c r="P71" s="141"/>
      <c r="Q71" s="166">
        <v>3</v>
      </c>
      <c r="R71" s="140">
        <f t="shared" si="17"/>
        <v>0.6</v>
      </c>
      <c r="S71" s="38"/>
      <c r="T71" s="38"/>
      <c r="U71" s="10"/>
      <c r="V71" s="1">
        <f>IF(E71="TR",F71,IF(E71="FA",F71+0.8,IF(E71="SP",F71+0.1,F71+0.5)))</f>
        <v>0.5</v>
      </c>
      <c r="W71" s="1">
        <f>G71</f>
        <v>3</v>
      </c>
      <c r="X71" s="1">
        <f>IF(O71="TR",P71,IF(O71="FA",P71+0.8,IF(O71="SP",P71+0.1,P71+0.5)))</f>
        <v>0.5</v>
      </c>
      <c r="Y71" s="1">
        <f>Q71</f>
        <v>3</v>
      </c>
    </row>
    <row r="72" spans="1:29" ht="16.5" customHeight="1" thickBot="1" x14ac:dyDescent="0.3">
      <c r="A72" s="187"/>
      <c r="B72" s="188"/>
      <c r="C72" s="177"/>
      <c r="D72" s="178"/>
      <c r="E72" s="142"/>
      <c r="F72" s="142"/>
      <c r="G72" s="167"/>
      <c r="H72" s="140"/>
      <c r="I72" s="39"/>
      <c r="J72" s="40"/>
      <c r="K72" s="230"/>
      <c r="L72" s="231"/>
      <c r="M72" s="210" t="s">
        <v>173</v>
      </c>
      <c r="N72" s="211"/>
      <c r="O72" s="152"/>
      <c r="P72" s="142"/>
      <c r="Q72" s="167"/>
      <c r="R72" s="140"/>
      <c r="S72" s="40"/>
      <c r="T72" s="40"/>
    </row>
    <row r="73" spans="1:29" ht="15.95" customHeight="1" x14ac:dyDescent="0.25">
      <c r="A73" s="228" t="s">
        <v>84</v>
      </c>
      <c r="B73" s="229"/>
      <c r="C73" s="212" t="s">
        <v>136</v>
      </c>
      <c r="D73" s="213"/>
      <c r="E73" s="151"/>
      <c r="F73" s="141"/>
      <c r="G73" s="166">
        <v>3</v>
      </c>
      <c r="H73" s="140">
        <f t="shared" si="16"/>
        <v>0.6</v>
      </c>
      <c r="I73" s="38"/>
      <c r="J73" s="38"/>
      <c r="K73" s="234" t="str">
        <f>IF(OR(N74=D41,N74=N22),"Duplicate LBST course","")</f>
        <v/>
      </c>
      <c r="L73" s="235" t="str">
        <f>IF(OR(M67=C34,M15=M67),"Duplicate LBST course","")</f>
        <v/>
      </c>
      <c r="M73" s="149" t="s">
        <v>174</v>
      </c>
      <c r="N73" s="58" t="str">
        <f>IF(N74=1501,$AG$2,IF(N74=1502,$AG$3,IF(N74=1511,$AG$4,$AG$5)))</f>
        <v>Local Arts/Humanities</v>
      </c>
      <c r="O73" s="151"/>
      <c r="P73" s="141"/>
      <c r="Q73" s="166">
        <v>3</v>
      </c>
      <c r="R73" s="140">
        <f t="shared" si="17"/>
        <v>0.6</v>
      </c>
      <c r="S73" s="40"/>
      <c r="T73" s="40"/>
      <c r="V73" s="1">
        <f>IF(E73="TR",F73,IF(E73="FA",F73+0.8,IF(E73="SP",F73+0.1,F73+0.5)))</f>
        <v>0.5</v>
      </c>
      <c r="W73" s="1">
        <f>G73</f>
        <v>3</v>
      </c>
      <c r="X73" s="1">
        <f>IF(O73="TR",P73,IF(O73="FA",P73+0.8,IF(O73="SP",P73+0.1,P73+0.5)))</f>
        <v>0.5</v>
      </c>
      <c r="Y73" s="1">
        <f>Q73</f>
        <v>3</v>
      </c>
    </row>
    <row r="74" spans="1:29" ht="16.5" customHeight="1" thickBot="1" x14ac:dyDescent="0.3">
      <c r="A74" s="230"/>
      <c r="B74" s="231"/>
      <c r="C74" s="210" t="s">
        <v>173</v>
      </c>
      <c r="D74" s="211"/>
      <c r="E74" s="152"/>
      <c r="F74" s="142"/>
      <c r="G74" s="167"/>
      <c r="H74" s="140"/>
      <c r="I74" s="38"/>
      <c r="J74" s="38"/>
      <c r="K74" s="285" t="str">
        <f>IF(OR(L68=B35,L16=L68),"Duplicate LBST course","")</f>
        <v>Duplicate LBST course</v>
      </c>
      <c r="L74" s="286" t="str">
        <f>IF(OR(M68=C35,M16=M68),"Duplicate LBST course","")</f>
        <v>Duplicate LBST course</v>
      </c>
      <c r="M74" s="150"/>
      <c r="N74" s="52">
        <v>1512</v>
      </c>
      <c r="O74" s="152"/>
      <c r="P74" s="142"/>
      <c r="Q74" s="167"/>
      <c r="R74" s="140"/>
      <c r="S74" s="40"/>
      <c r="T74" s="40"/>
    </row>
    <row r="75" spans="1:29" x14ac:dyDescent="0.25">
      <c r="A75" s="228" t="s">
        <v>84</v>
      </c>
      <c r="B75" s="229"/>
      <c r="C75" s="175" t="s">
        <v>146</v>
      </c>
      <c r="D75" s="176"/>
      <c r="E75" s="151"/>
      <c r="F75" s="141"/>
      <c r="G75" s="166">
        <v>3</v>
      </c>
      <c r="H75" s="140">
        <f t="shared" si="16"/>
        <v>0.6</v>
      </c>
      <c r="I75" s="38"/>
      <c r="J75" s="38"/>
      <c r="K75" s="228" t="s">
        <v>31</v>
      </c>
      <c r="L75" s="229"/>
      <c r="M75" s="149" t="s">
        <v>1</v>
      </c>
      <c r="N75" s="9" t="s">
        <v>63</v>
      </c>
      <c r="O75" s="151"/>
      <c r="P75" s="283"/>
      <c r="Q75" s="170">
        <v>1</v>
      </c>
      <c r="R75" s="140">
        <f t="shared" si="17"/>
        <v>0.6</v>
      </c>
      <c r="S75" s="38"/>
      <c r="T75" s="38"/>
      <c r="U75" s="10"/>
      <c r="V75" s="1">
        <f>IF(E75="TR",F75,IF(E75="FA",F75+0.8,IF(E75="SP",F75+0.1,F75+0.5)))</f>
        <v>0.5</v>
      </c>
      <c r="W75" s="1">
        <f>G75</f>
        <v>3</v>
      </c>
      <c r="X75" s="1">
        <f>IF(O75="TR",P75,IF(O75="FA",P75+0.8,IF(O75="SP",P75+0.1,P75+0.5)))</f>
        <v>0.5</v>
      </c>
      <c r="Y75" s="1">
        <f>Q75</f>
        <v>1</v>
      </c>
      <c r="AA75" s="1">
        <f>IF(DesignElective="MEGR 3221",IF(V75&gt;V48,0,1)+IF(V75&gt;X34,0,1),IF(V75&gt;X46,0,1)+IF(V75&gt;X50,0,1)+IF(V75&gt;X56,0,1))</f>
        <v>2</v>
      </c>
    </row>
    <row r="76" spans="1:29" ht="16.5" thickBot="1" x14ac:dyDescent="0.3">
      <c r="A76" s="230"/>
      <c r="B76" s="231"/>
      <c r="C76" s="279" t="s">
        <v>152</v>
      </c>
      <c r="D76" s="280"/>
      <c r="E76" s="152"/>
      <c r="F76" s="142"/>
      <c r="G76" s="167"/>
      <c r="H76" s="140"/>
      <c r="I76" s="39"/>
      <c r="J76" s="40"/>
      <c r="K76" s="230"/>
      <c r="L76" s="231"/>
      <c r="M76" s="150"/>
      <c r="N76" s="15">
        <v>3295</v>
      </c>
      <c r="O76" s="152"/>
      <c r="P76" s="284"/>
      <c r="Q76" s="171"/>
      <c r="R76" s="140"/>
      <c r="S76" s="40"/>
      <c r="T76" s="40"/>
    </row>
    <row r="77" spans="1:29" ht="15.95" customHeight="1" x14ac:dyDescent="0.25">
      <c r="A77" s="106"/>
      <c r="B77" s="106"/>
      <c r="C77" s="106"/>
      <c r="D77" s="106"/>
      <c r="E77" s="106"/>
      <c r="F77" s="106"/>
      <c r="G77" s="106"/>
      <c r="H77" s="106"/>
      <c r="I77" s="106"/>
      <c r="J77" s="106"/>
      <c r="K77" s="106"/>
      <c r="L77" s="106"/>
      <c r="M77" s="106"/>
      <c r="N77" s="106"/>
      <c r="O77" s="106"/>
      <c r="P77" s="106"/>
      <c r="Q77" s="106"/>
      <c r="R77" s="106"/>
      <c r="S77" s="40"/>
      <c r="T77" s="40"/>
    </row>
    <row r="78" spans="1:29" x14ac:dyDescent="0.25">
      <c r="A78" s="106"/>
      <c r="B78" s="106"/>
      <c r="C78" s="106"/>
      <c r="D78" s="106"/>
      <c r="E78" s="106"/>
      <c r="F78" s="106"/>
      <c r="G78" s="106"/>
      <c r="H78" s="106"/>
      <c r="I78" s="106"/>
      <c r="J78" s="106"/>
      <c r="K78" s="106"/>
      <c r="L78" s="106"/>
      <c r="M78" s="106"/>
      <c r="N78" s="106"/>
      <c r="O78" s="106"/>
      <c r="P78" s="106"/>
      <c r="Q78" s="106"/>
      <c r="R78" s="106"/>
      <c r="S78" s="40"/>
      <c r="T78" s="40"/>
    </row>
    <row r="79" spans="1:29" x14ac:dyDescent="0.25">
      <c r="A79" s="18" t="s">
        <v>41</v>
      </c>
      <c r="B79" s="18"/>
      <c r="I79" s="41"/>
      <c r="J79" s="41"/>
      <c r="M79" s="1" t="str">
        <f>IF(OR(N74=D41,N22=N74),"Duplicate LBST course","")</f>
        <v/>
      </c>
      <c r="S79" s="40"/>
      <c r="T79" s="40"/>
      <c r="V79" s="35" t="s">
        <v>111</v>
      </c>
      <c r="AB79" s="1" t="s">
        <v>124</v>
      </c>
      <c r="AC79" s="134" t="s">
        <v>123</v>
      </c>
    </row>
    <row r="80" spans="1:29" x14ac:dyDescent="0.25">
      <c r="A80" s="20" t="s">
        <v>32</v>
      </c>
      <c r="C80" s="19"/>
      <c r="H80" s="1"/>
      <c r="I80" s="41"/>
      <c r="J80" s="41"/>
      <c r="S80" s="41"/>
      <c r="T80" s="41"/>
      <c r="U80" s="7"/>
      <c r="V80" s="35" t="s">
        <v>107</v>
      </c>
      <c r="W80" s="35" t="s">
        <v>108</v>
      </c>
      <c r="X80" s="35" t="s">
        <v>110</v>
      </c>
      <c r="Y80" s="35" t="s">
        <v>109</v>
      </c>
      <c r="AA80" s="1" t="s">
        <v>122</v>
      </c>
      <c r="AB80" s="1" t="s">
        <v>109</v>
      </c>
      <c r="AC80" s="135"/>
    </row>
    <row r="81" spans="1:29" x14ac:dyDescent="0.25">
      <c r="A81" s="83" t="s">
        <v>155</v>
      </c>
      <c r="E81" s="1"/>
      <c r="F81" s="1"/>
      <c r="H81" s="1"/>
      <c r="I81" s="4"/>
      <c r="J81" s="4"/>
      <c r="K81" s="3"/>
      <c r="V81" s="1" t="s">
        <v>79</v>
      </c>
      <c r="W81" s="1">
        <v>2017</v>
      </c>
      <c r="X81" s="1">
        <f t="shared" ref="X81:X112" si="18">IF(V81="FA",W81+0.8,IF(V81="SP",W81+0.1,W81+0.5))</f>
        <v>2017.8</v>
      </c>
      <c r="Y81" s="1">
        <f t="shared" ref="Y81:Y112" si="19">SUMIF($X$10:$X$77,X81,$Y$10:$Y$77)+SUMIF($V$10:$V$77,X81,$W$10:$W$77)</f>
        <v>0</v>
      </c>
      <c r="AA81" s="1">
        <f t="shared" ref="AA81:AA112" ca="1" si="20">IF($W$3&gt;X81,1,0)</f>
        <v>1</v>
      </c>
      <c r="AB81" s="1">
        <f t="shared" ref="AB81:AB112" si="21">IF(OR(V81="FA",V81="SP"),18,14)</f>
        <v>18</v>
      </c>
      <c r="AC81" s="1">
        <f t="shared" ref="AC81:AC112" si="22">IF(Y81&gt;AB81,1,0)</f>
        <v>0</v>
      </c>
    </row>
    <row r="82" spans="1:29" x14ac:dyDescent="0.25">
      <c r="A82" s="85" t="s">
        <v>157</v>
      </c>
      <c r="I82" s="4"/>
      <c r="J82" s="4"/>
      <c r="V82" s="1" t="s">
        <v>78</v>
      </c>
      <c r="W82" s="1">
        <v>2018</v>
      </c>
      <c r="X82" s="1">
        <f t="shared" si="18"/>
        <v>2018.1</v>
      </c>
      <c r="Y82" s="1">
        <f t="shared" si="19"/>
        <v>0</v>
      </c>
      <c r="AA82" s="1">
        <f t="shared" ca="1" si="20"/>
        <v>1</v>
      </c>
      <c r="AB82" s="1">
        <f t="shared" si="21"/>
        <v>18</v>
      </c>
      <c r="AC82" s="1">
        <f t="shared" si="22"/>
        <v>0</v>
      </c>
    </row>
    <row r="83" spans="1:29" x14ac:dyDescent="0.25">
      <c r="A83" s="88" t="s">
        <v>102</v>
      </c>
      <c r="B83" s="89"/>
      <c r="C83" s="90"/>
      <c r="D83" s="89"/>
      <c r="E83" s="89"/>
      <c r="F83" s="89"/>
      <c r="G83" s="90"/>
      <c r="H83" s="91"/>
      <c r="I83" s="24"/>
      <c r="J83" s="24"/>
      <c r="K83" s="92"/>
      <c r="L83" s="92"/>
      <c r="M83" s="92"/>
      <c r="N83" s="93"/>
      <c r="O83" s="93"/>
      <c r="V83" s="1" t="s">
        <v>81</v>
      </c>
      <c r="W83" s="1">
        <v>2018</v>
      </c>
      <c r="X83" s="1">
        <f t="shared" si="18"/>
        <v>2018.5</v>
      </c>
      <c r="Y83" s="1">
        <f t="shared" si="19"/>
        <v>0</v>
      </c>
      <c r="AA83" s="1">
        <f t="shared" ca="1" si="20"/>
        <v>1</v>
      </c>
      <c r="AB83" s="1">
        <f t="shared" si="21"/>
        <v>14</v>
      </c>
      <c r="AC83" s="1">
        <f t="shared" si="22"/>
        <v>0</v>
      </c>
    </row>
    <row r="84" spans="1:29" x14ac:dyDescent="0.25">
      <c r="A84" s="94" t="s">
        <v>137</v>
      </c>
      <c r="B84" s="91"/>
      <c r="C84" s="92"/>
      <c r="D84" s="91"/>
      <c r="E84" s="91"/>
      <c r="F84" s="91"/>
      <c r="G84" s="92"/>
      <c r="H84" s="91"/>
      <c r="I84" s="24"/>
      <c r="J84" s="24"/>
      <c r="K84" s="92"/>
      <c r="L84" s="92"/>
      <c r="M84" s="92"/>
      <c r="N84" s="93"/>
      <c r="O84" s="93"/>
      <c r="V84" s="1" t="s">
        <v>79</v>
      </c>
      <c r="W84" s="1">
        <v>2018</v>
      </c>
      <c r="X84" s="1">
        <f t="shared" si="18"/>
        <v>2018.8</v>
      </c>
      <c r="Y84" s="1">
        <f t="shared" si="19"/>
        <v>0</v>
      </c>
      <c r="AA84" s="1">
        <f t="shared" ca="1" si="20"/>
        <v>1</v>
      </c>
      <c r="AB84" s="1">
        <f t="shared" si="21"/>
        <v>18</v>
      </c>
      <c r="AC84" s="1">
        <f t="shared" si="22"/>
        <v>0</v>
      </c>
    </row>
    <row r="85" spans="1:29" x14ac:dyDescent="0.25">
      <c r="A85" s="94" t="s">
        <v>138</v>
      </c>
      <c r="B85" s="91"/>
      <c r="C85" s="92"/>
      <c r="D85" s="91"/>
      <c r="E85" s="91"/>
      <c r="F85" s="91"/>
      <c r="G85" s="92"/>
      <c r="H85" s="91"/>
      <c r="I85" s="24"/>
      <c r="J85" s="24"/>
      <c r="K85" s="92"/>
      <c r="L85" s="92"/>
      <c r="M85" s="92"/>
      <c r="N85" s="93"/>
      <c r="O85" s="93"/>
      <c r="V85" s="1" t="s">
        <v>78</v>
      </c>
      <c r="W85" s="1">
        <v>2019</v>
      </c>
      <c r="X85" s="1">
        <f t="shared" si="18"/>
        <v>2019.1</v>
      </c>
      <c r="Y85" s="1">
        <f t="shared" si="19"/>
        <v>0</v>
      </c>
      <c r="AA85" s="1">
        <f t="shared" ca="1" si="20"/>
        <v>1</v>
      </c>
      <c r="AB85" s="1">
        <f t="shared" si="21"/>
        <v>18</v>
      </c>
      <c r="AC85" s="1">
        <f t="shared" si="22"/>
        <v>0</v>
      </c>
    </row>
    <row r="86" spans="1:29" ht="15.95" customHeight="1" x14ac:dyDescent="0.25">
      <c r="A86" s="281"/>
      <c r="B86" s="282"/>
      <c r="C86" s="282"/>
      <c r="D86" s="282"/>
      <c r="E86" s="282"/>
      <c r="F86" s="282"/>
      <c r="G86" s="282"/>
      <c r="H86" s="282"/>
      <c r="I86" s="282"/>
      <c r="J86" s="282"/>
      <c r="K86" s="282"/>
      <c r="L86" s="282"/>
      <c r="M86" s="282"/>
      <c r="N86" s="282"/>
      <c r="O86" s="86"/>
      <c r="P86" s="86"/>
      <c r="Q86" s="86"/>
      <c r="R86" s="86"/>
      <c r="V86" s="1" t="s">
        <v>81</v>
      </c>
      <c r="W86" s="1">
        <v>2019</v>
      </c>
      <c r="X86" s="1">
        <f t="shared" si="18"/>
        <v>2019.5</v>
      </c>
      <c r="Y86" s="1">
        <f t="shared" si="19"/>
        <v>0</v>
      </c>
      <c r="AA86" s="1">
        <f t="shared" ca="1" si="20"/>
        <v>1</v>
      </c>
      <c r="AB86" s="1">
        <f t="shared" si="21"/>
        <v>14</v>
      </c>
      <c r="AC86" s="1">
        <f t="shared" si="22"/>
        <v>0</v>
      </c>
    </row>
    <row r="87" spans="1:29" ht="12.75" customHeight="1" x14ac:dyDescent="0.25">
      <c r="A87" s="21"/>
      <c r="B87" s="86"/>
      <c r="C87" s="86"/>
      <c r="D87" s="86"/>
      <c r="E87" s="86"/>
      <c r="F87" s="86"/>
      <c r="G87" s="86"/>
      <c r="H87" s="86"/>
      <c r="I87" s="86"/>
      <c r="J87" s="86"/>
      <c r="K87" s="86"/>
      <c r="L87" s="86"/>
      <c r="M87" s="86"/>
      <c r="N87" s="86"/>
      <c r="O87" s="86"/>
      <c r="P87" s="86"/>
      <c r="Q87" s="86"/>
      <c r="R87" s="86"/>
      <c r="V87" s="1" t="s">
        <v>79</v>
      </c>
      <c r="W87" s="1">
        <v>2019</v>
      </c>
      <c r="X87" s="1">
        <f t="shared" si="18"/>
        <v>2019.8</v>
      </c>
      <c r="Y87" s="1">
        <f t="shared" si="19"/>
        <v>0</v>
      </c>
      <c r="AA87" s="1">
        <f t="shared" ca="1" si="20"/>
        <v>1</v>
      </c>
      <c r="AB87" s="1">
        <f t="shared" si="21"/>
        <v>18</v>
      </c>
      <c r="AC87" s="1">
        <f t="shared" si="22"/>
        <v>0</v>
      </c>
    </row>
    <row r="88" spans="1:29" ht="15" customHeight="1" x14ac:dyDescent="0.25">
      <c r="A88" s="21" t="s">
        <v>164</v>
      </c>
      <c r="B88" s="86"/>
      <c r="C88" s="86"/>
      <c r="D88" s="86"/>
      <c r="E88" s="86"/>
      <c r="F88" s="86"/>
      <c r="G88" s="86"/>
      <c r="H88" s="86"/>
      <c r="I88" s="86"/>
      <c r="J88" s="86"/>
      <c r="K88" s="86"/>
      <c r="L88" s="86"/>
      <c r="M88" s="86"/>
      <c r="N88" s="86"/>
      <c r="O88" s="86"/>
      <c r="P88" s="86"/>
      <c r="Q88" s="86"/>
      <c r="R88" s="86"/>
      <c r="V88" s="1" t="s">
        <v>78</v>
      </c>
      <c r="W88" s="1">
        <v>2020</v>
      </c>
      <c r="X88" s="1">
        <f t="shared" si="18"/>
        <v>2020.1</v>
      </c>
      <c r="Y88" s="1">
        <f t="shared" si="19"/>
        <v>0</v>
      </c>
      <c r="AA88" s="1">
        <f t="shared" ca="1" si="20"/>
        <v>1</v>
      </c>
      <c r="AB88" s="1">
        <f t="shared" si="21"/>
        <v>18</v>
      </c>
      <c r="AC88" s="1">
        <f t="shared" si="22"/>
        <v>0</v>
      </c>
    </row>
    <row r="89" spans="1:29" s="5" customFormat="1" ht="15" customHeight="1" x14ac:dyDescent="0.25">
      <c r="A89" s="21" t="s">
        <v>162</v>
      </c>
      <c r="B89" s="86"/>
      <c r="C89" s="86"/>
      <c r="D89" s="86"/>
      <c r="E89" s="86"/>
      <c r="F89" s="86"/>
      <c r="G89" s="86"/>
      <c r="H89" s="86"/>
      <c r="I89" s="86"/>
      <c r="J89" s="86"/>
      <c r="K89" s="86"/>
      <c r="L89" s="86"/>
      <c r="M89" s="86"/>
      <c r="N89" s="86"/>
      <c r="O89" s="86"/>
      <c r="P89" s="86"/>
      <c r="Q89" s="86"/>
      <c r="R89" s="86"/>
      <c r="V89" s="1" t="s">
        <v>81</v>
      </c>
      <c r="W89" s="1">
        <f>W88</f>
        <v>2020</v>
      </c>
      <c r="X89" s="1">
        <f t="shared" si="18"/>
        <v>2020.5</v>
      </c>
      <c r="Y89" s="1">
        <f t="shared" si="19"/>
        <v>0</v>
      </c>
      <c r="Z89" s="1"/>
      <c r="AA89" s="1">
        <f t="shared" ca="1" si="20"/>
        <v>1</v>
      </c>
      <c r="AB89" s="1">
        <f t="shared" si="21"/>
        <v>14</v>
      </c>
      <c r="AC89" s="1">
        <f t="shared" si="22"/>
        <v>0</v>
      </c>
    </row>
    <row r="90" spans="1:29" s="5" customFormat="1" ht="15" customHeight="1" x14ac:dyDescent="0.25">
      <c r="A90" s="21" t="s">
        <v>163</v>
      </c>
      <c r="B90" s="86"/>
      <c r="C90" s="86"/>
      <c r="D90" s="86"/>
      <c r="E90" s="86"/>
      <c r="F90" s="86"/>
      <c r="G90" s="86"/>
      <c r="H90" s="86"/>
      <c r="I90" s="86"/>
      <c r="J90" s="86"/>
      <c r="K90" s="86"/>
      <c r="L90" s="86"/>
      <c r="M90" s="86"/>
      <c r="N90" s="86"/>
      <c r="O90" s="86"/>
      <c r="P90" s="86"/>
      <c r="Q90" s="86"/>
      <c r="R90" s="86"/>
      <c r="V90" s="1" t="s">
        <v>79</v>
      </c>
      <c r="W90" s="1">
        <f>W89</f>
        <v>2020</v>
      </c>
      <c r="X90" s="1">
        <f t="shared" si="18"/>
        <v>2020.8</v>
      </c>
      <c r="Y90" s="1">
        <f t="shared" si="19"/>
        <v>0</v>
      </c>
      <c r="Z90" s="1"/>
      <c r="AA90" s="1">
        <f t="shared" ca="1" si="20"/>
        <v>1</v>
      </c>
      <c r="AB90" s="1">
        <f t="shared" si="21"/>
        <v>18</v>
      </c>
      <c r="AC90" s="1">
        <f t="shared" si="22"/>
        <v>0</v>
      </c>
    </row>
    <row r="91" spans="1:29" s="5" customFormat="1" ht="12" customHeight="1" x14ac:dyDescent="0.25">
      <c r="A91" s="3"/>
      <c r="B91" s="3"/>
      <c r="C91" s="1"/>
      <c r="D91" s="3"/>
      <c r="E91" s="3"/>
      <c r="F91" s="3"/>
      <c r="G91" s="1"/>
      <c r="H91" s="3"/>
      <c r="I91" s="3"/>
      <c r="J91" s="1"/>
      <c r="K91" s="1"/>
      <c r="L91" s="1"/>
      <c r="M91" s="1"/>
      <c r="N91" s="1"/>
      <c r="O91" s="1"/>
      <c r="P91" s="1"/>
      <c r="Q91" s="1"/>
      <c r="R91" s="1"/>
      <c r="V91" s="1" t="s">
        <v>78</v>
      </c>
      <c r="W91" s="1">
        <f>W88+1</f>
        <v>2021</v>
      </c>
      <c r="X91" s="1">
        <f t="shared" si="18"/>
        <v>2021.1</v>
      </c>
      <c r="Y91" s="1">
        <f t="shared" si="19"/>
        <v>0</v>
      </c>
      <c r="Z91" s="1"/>
      <c r="AA91" s="1">
        <f t="shared" ca="1" si="20"/>
        <v>1</v>
      </c>
      <c r="AB91" s="1">
        <f t="shared" si="21"/>
        <v>18</v>
      </c>
      <c r="AC91" s="1">
        <f t="shared" si="22"/>
        <v>0</v>
      </c>
    </row>
    <row r="92" spans="1:29" s="5" customFormat="1" ht="13.9" customHeight="1" x14ac:dyDescent="0.35">
      <c r="A92" s="108"/>
      <c r="B92" s="3"/>
      <c r="C92" s="1"/>
      <c r="D92" s="3"/>
      <c r="E92" s="3"/>
      <c r="F92" s="3"/>
      <c r="G92" s="1"/>
      <c r="H92" s="3"/>
      <c r="I92" s="4"/>
      <c r="J92" s="4"/>
      <c r="K92" s="1"/>
      <c r="L92" s="1"/>
      <c r="M92" s="1"/>
      <c r="N92" s="1"/>
      <c r="O92" s="1"/>
      <c r="P92" s="1"/>
      <c r="Q92" s="1"/>
      <c r="R92" s="1"/>
      <c r="V92" s="1" t="s">
        <v>81</v>
      </c>
      <c r="W92" s="1">
        <f t="shared" ref="W92:W112" si="23">W89+1</f>
        <v>2021</v>
      </c>
      <c r="X92" s="1">
        <f t="shared" si="18"/>
        <v>2021.5</v>
      </c>
      <c r="Y92" s="1">
        <f t="shared" si="19"/>
        <v>0</v>
      </c>
      <c r="Z92" s="1"/>
      <c r="AA92" s="1">
        <f t="shared" ca="1" si="20"/>
        <v>1</v>
      </c>
      <c r="AB92" s="1">
        <f t="shared" si="21"/>
        <v>14</v>
      </c>
      <c r="AC92" s="1">
        <f t="shared" si="22"/>
        <v>0</v>
      </c>
    </row>
    <row r="93" spans="1:29" s="5" customFormat="1" ht="12" customHeight="1" x14ac:dyDescent="0.35">
      <c r="A93" s="108"/>
      <c r="B93" s="3"/>
      <c r="C93" s="1"/>
      <c r="D93" s="3"/>
      <c r="E93" s="21"/>
      <c r="F93" s="21"/>
      <c r="H93" s="21"/>
      <c r="I93" s="4"/>
      <c r="J93" s="4"/>
      <c r="V93" s="1" t="s">
        <v>79</v>
      </c>
      <c r="W93" s="1">
        <f t="shared" si="23"/>
        <v>2021</v>
      </c>
      <c r="X93" s="1">
        <f t="shared" si="18"/>
        <v>2021.8</v>
      </c>
      <c r="Y93" s="1">
        <f t="shared" si="19"/>
        <v>0</v>
      </c>
      <c r="Z93" s="1"/>
      <c r="AA93" s="1">
        <f t="shared" ca="1" si="20"/>
        <v>1</v>
      </c>
      <c r="AB93" s="1">
        <f t="shared" si="21"/>
        <v>18</v>
      </c>
      <c r="AC93" s="1">
        <f t="shared" si="22"/>
        <v>0</v>
      </c>
    </row>
    <row r="94" spans="1:29" s="5" customFormat="1" ht="12.75" customHeight="1" x14ac:dyDescent="0.35">
      <c r="A94" s="108"/>
      <c r="B94" s="3"/>
      <c r="C94" s="1"/>
      <c r="D94" s="3"/>
      <c r="E94" s="10"/>
      <c r="F94" s="10"/>
      <c r="G94" s="10"/>
      <c r="H94" s="10"/>
      <c r="I94" s="4"/>
      <c r="J94" s="4"/>
      <c r="V94" s="1" t="s">
        <v>78</v>
      </c>
      <c r="W94" s="1">
        <f t="shared" si="23"/>
        <v>2022</v>
      </c>
      <c r="X94" s="1">
        <f t="shared" si="18"/>
        <v>2022.1</v>
      </c>
      <c r="Y94" s="1">
        <f t="shared" si="19"/>
        <v>0</v>
      </c>
      <c r="Z94" s="1"/>
      <c r="AA94" s="1">
        <f t="shared" ca="1" si="20"/>
        <v>1</v>
      </c>
      <c r="AB94" s="1">
        <f t="shared" si="21"/>
        <v>18</v>
      </c>
      <c r="AC94" s="1">
        <f t="shared" si="22"/>
        <v>0</v>
      </c>
    </row>
    <row r="95" spans="1:29" s="5" customFormat="1" ht="12.75" customHeight="1" x14ac:dyDescent="0.35">
      <c r="A95" s="108"/>
      <c r="B95" s="3"/>
      <c r="C95" s="1"/>
      <c r="D95" s="3"/>
      <c r="E95" s="10"/>
      <c r="F95" s="10"/>
      <c r="G95" s="10"/>
      <c r="H95" s="21"/>
      <c r="I95" s="4"/>
      <c r="J95" s="4"/>
      <c r="V95" s="1" t="s">
        <v>81</v>
      </c>
      <c r="W95" s="1">
        <f t="shared" si="23"/>
        <v>2022</v>
      </c>
      <c r="X95" s="1">
        <f t="shared" si="18"/>
        <v>2022.5</v>
      </c>
      <c r="Y95" s="1">
        <f t="shared" si="19"/>
        <v>0</v>
      </c>
      <c r="Z95" s="1"/>
      <c r="AA95" s="1">
        <f t="shared" ca="1" si="20"/>
        <v>1</v>
      </c>
      <c r="AB95" s="1">
        <f t="shared" si="21"/>
        <v>14</v>
      </c>
      <c r="AC95" s="1">
        <f t="shared" si="22"/>
        <v>0</v>
      </c>
    </row>
    <row r="96" spans="1:29" s="5" customFormat="1" ht="12.75" customHeight="1" x14ac:dyDescent="0.35">
      <c r="A96" s="108"/>
      <c r="B96" s="3"/>
      <c r="C96" s="1"/>
      <c r="D96" s="3"/>
      <c r="E96" s="10"/>
      <c r="F96" s="10"/>
      <c r="G96" s="10"/>
      <c r="H96" s="21"/>
      <c r="I96" s="4"/>
      <c r="J96" s="4"/>
      <c r="V96" s="1" t="s">
        <v>79</v>
      </c>
      <c r="W96" s="1">
        <f t="shared" si="23"/>
        <v>2022</v>
      </c>
      <c r="X96" s="1">
        <f t="shared" si="18"/>
        <v>2022.8</v>
      </c>
      <c r="Y96" s="1">
        <f t="shared" si="19"/>
        <v>0</v>
      </c>
      <c r="Z96" s="1"/>
      <c r="AA96" s="1">
        <f t="shared" ca="1" si="20"/>
        <v>1</v>
      </c>
      <c r="AB96" s="1">
        <f t="shared" si="21"/>
        <v>18</v>
      </c>
      <c r="AC96" s="1">
        <f t="shared" si="22"/>
        <v>0</v>
      </c>
    </row>
    <row r="97" spans="1:29" s="5" customFormat="1" ht="12.75" customHeight="1" x14ac:dyDescent="0.35">
      <c r="A97" s="108"/>
      <c r="B97" s="3"/>
      <c r="C97" s="1"/>
      <c r="D97" s="3"/>
      <c r="E97" s="10"/>
      <c r="F97" s="10"/>
      <c r="G97" s="10"/>
      <c r="H97" s="21"/>
      <c r="I97" s="4"/>
      <c r="J97" s="4"/>
      <c r="V97" s="1" t="s">
        <v>78</v>
      </c>
      <c r="W97" s="1">
        <f t="shared" si="23"/>
        <v>2023</v>
      </c>
      <c r="X97" s="1">
        <f t="shared" si="18"/>
        <v>2023.1</v>
      </c>
      <c r="Y97" s="1">
        <f t="shared" si="19"/>
        <v>0</v>
      </c>
      <c r="Z97" s="1"/>
      <c r="AA97" s="1">
        <f t="shared" ca="1" si="20"/>
        <v>1</v>
      </c>
      <c r="AB97" s="1">
        <f t="shared" si="21"/>
        <v>18</v>
      </c>
      <c r="AC97" s="1">
        <f t="shared" si="22"/>
        <v>0</v>
      </c>
    </row>
    <row r="98" spans="1:29" s="5" customFormat="1" ht="12.75" customHeight="1" x14ac:dyDescent="0.35">
      <c r="A98" s="108"/>
      <c r="B98" s="3"/>
      <c r="C98" s="1"/>
      <c r="D98" s="3"/>
      <c r="E98" s="10"/>
      <c r="F98" s="10"/>
      <c r="G98" s="10"/>
      <c r="H98" s="21"/>
      <c r="I98" s="4"/>
      <c r="J98" s="4"/>
      <c r="V98" s="1" t="s">
        <v>81</v>
      </c>
      <c r="W98" s="1">
        <f t="shared" si="23"/>
        <v>2023</v>
      </c>
      <c r="X98" s="1">
        <f t="shared" si="18"/>
        <v>2023.5</v>
      </c>
      <c r="Y98" s="1">
        <f t="shared" si="19"/>
        <v>0</v>
      </c>
      <c r="Z98" s="1"/>
      <c r="AA98" s="1">
        <f t="shared" ca="1" si="20"/>
        <v>1</v>
      </c>
      <c r="AB98" s="1">
        <f t="shared" si="21"/>
        <v>14</v>
      </c>
      <c r="AC98" s="1">
        <f t="shared" si="22"/>
        <v>0</v>
      </c>
    </row>
    <row r="99" spans="1:29" ht="12.75" customHeight="1" x14ac:dyDescent="0.35">
      <c r="A99" s="108"/>
      <c r="E99" s="10"/>
      <c r="F99" s="10"/>
      <c r="G99" s="10"/>
      <c r="H99" s="21"/>
      <c r="I99" s="4"/>
      <c r="J99" s="4"/>
      <c r="K99" s="5"/>
      <c r="L99" s="5"/>
      <c r="M99" s="5"/>
      <c r="N99" s="5"/>
      <c r="O99" s="5"/>
      <c r="P99" s="5"/>
      <c r="Q99" s="5"/>
      <c r="R99" s="5"/>
      <c r="V99" s="1" t="s">
        <v>79</v>
      </c>
      <c r="W99" s="1">
        <f t="shared" si="23"/>
        <v>2023</v>
      </c>
      <c r="X99" s="1">
        <f t="shared" si="18"/>
        <v>2023.8</v>
      </c>
      <c r="Y99" s="1">
        <f t="shared" si="19"/>
        <v>0</v>
      </c>
      <c r="AA99" s="1">
        <f t="shared" ca="1" si="20"/>
        <v>1</v>
      </c>
      <c r="AB99" s="1">
        <f t="shared" si="21"/>
        <v>18</v>
      </c>
      <c r="AC99" s="1">
        <f t="shared" si="22"/>
        <v>0</v>
      </c>
    </row>
    <row r="100" spans="1:29" ht="12.75" customHeight="1" x14ac:dyDescent="0.35">
      <c r="A100" s="108"/>
      <c r="E100" s="10"/>
      <c r="F100" s="10"/>
      <c r="G100" s="10"/>
      <c r="H100" s="21"/>
      <c r="I100" s="4"/>
      <c r="J100" s="4"/>
      <c r="K100" s="5"/>
      <c r="L100" s="5"/>
      <c r="M100" s="5"/>
      <c r="N100" s="5"/>
      <c r="O100" s="5"/>
      <c r="P100" s="5"/>
      <c r="Q100" s="5"/>
      <c r="R100" s="5"/>
      <c r="V100" s="1" t="s">
        <v>78</v>
      </c>
      <c r="W100" s="1">
        <f t="shared" si="23"/>
        <v>2024</v>
      </c>
      <c r="X100" s="1">
        <f t="shared" si="18"/>
        <v>2024.1</v>
      </c>
      <c r="Y100" s="1">
        <f t="shared" si="19"/>
        <v>0</v>
      </c>
      <c r="AA100" s="1">
        <f t="shared" ca="1" si="20"/>
        <v>1</v>
      </c>
      <c r="AB100" s="1">
        <f t="shared" si="21"/>
        <v>18</v>
      </c>
      <c r="AC100" s="1">
        <f t="shared" si="22"/>
        <v>0</v>
      </c>
    </row>
    <row r="101" spans="1:29" ht="12.75" customHeight="1" x14ac:dyDescent="0.35">
      <c r="A101" s="108"/>
      <c r="E101" s="10"/>
      <c r="F101" s="10"/>
      <c r="G101" s="10"/>
      <c r="H101" s="21"/>
      <c r="I101" s="4"/>
      <c r="J101" s="4"/>
      <c r="K101" s="5"/>
      <c r="L101" s="5"/>
      <c r="M101" s="5"/>
      <c r="N101" s="5"/>
      <c r="O101" s="5"/>
      <c r="P101" s="5"/>
      <c r="Q101" s="5"/>
      <c r="R101" s="5"/>
      <c r="V101" s="1" t="s">
        <v>81</v>
      </c>
      <c r="W101" s="1">
        <f t="shared" si="23"/>
        <v>2024</v>
      </c>
      <c r="X101" s="1">
        <f t="shared" si="18"/>
        <v>2024.5</v>
      </c>
      <c r="Y101" s="1">
        <f t="shared" si="19"/>
        <v>0</v>
      </c>
      <c r="AA101" s="1">
        <f t="shared" ca="1" si="20"/>
        <v>1</v>
      </c>
      <c r="AB101" s="1">
        <f t="shared" si="21"/>
        <v>14</v>
      </c>
      <c r="AC101" s="1">
        <f t="shared" si="22"/>
        <v>0</v>
      </c>
    </row>
    <row r="102" spans="1:29" ht="12.75" customHeight="1" x14ac:dyDescent="0.35">
      <c r="A102" s="108"/>
      <c r="E102" s="10"/>
      <c r="F102" s="10"/>
      <c r="G102" s="10"/>
      <c r="H102" s="21"/>
      <c r="I102" s="4"/>
      <c r="J102" s="4"/>
      <c r="K102" s="5"/>
      <c r="L102" s="5"/>
      <c r="M102" s="5"/>
      <c r="N102" s="5"/>
      <c r="O102" s="5"/>
      <c r="P102" s="5"/>
      <c r="Q102" s="5"/>
      <c r="R102" s="5"/>
      <c r="V102" s="1" t="s">
        <v>79</v>
      </c>
      <c r="W102" s="1">
        <f t="shared" si="23"/>
        <v>2024</v>
      </c>
      <c r="X102" s="1">
        <f t="shared" si="18"/>
        <v>2024.8</v>
      </c>
      <c r="Y102" s="1">
        <f t="shared" si="19"/>
        <v>0</v>
      </c>
      <c r="AA102" s="1">
        <f t="shared" ca="1" si="20"/>
        <v>0</v>
      </c>
      <c r="AB102" s="1">
        <f t="shared" si="21"/>
        <v>18</v>
      </c>
      <c r="AC102" s="1">
        <f t="shared" si="22"/>
        <v>0</v>
      </c>
    </row>
    <row r="103" spans="1:29" ht="15.95" customHeight="1" x14ac:dyDescent="0.35">
      <c r="A103" s="108"/>
      <c r="I103" s="4"/>
      <c r="J103" s="4"/>
      <c r="V103" s="1" t="s">
        <v>78</v>
      </c>
      <c r="W103" s="1">
        <f t="shared" si="23"/>
        <v>2025</v>
      </c>
      <c r="X103" s="1">
        <f t="shared" si="18"/>
        <v>2025.1</v>
      </c>
      <c r="Y103" s="1">
        <f t="shared" si="19"/>
        <v>0</v>
      </c>
      <c r="AA103" s="1">
        <f t="shared" ca="1" si="20"/>
        <v>0</v>
      </c>
      <c r="AB103" s="1">
        <f t="shared" si="21"/>
        <v>18</v>
      </c>
      <c r="AC103" s="1">
        <f t="shared" si="22"/>
        <v>0</v>
      </c>
    </row>
    <row r="104" spans="1:29" ht="16.5" customHeight="1" x14ac:dyDescent="0.25">
      <c r="A104" s="109"/>
      <c r="I104" s="4"/>
      <c r="J104" s="4"/>
      <c r="V104" s="1" t="s">
        <v>81</v>
      </c>
      <c r="W104" s="1">
        <f t="shared" si="23"/>
        <v>2025</v>
      </c>
      <c r="X104" s="1">
        <f t="shared" si="18"/>
        <v>2025.5</v>
      </c>
      <c r="Y104" s="1">
        <f t="shared" si="19"/>
        <v>0</v>
      </c>
      <c r="AA104" s="1">
        <f t="shared" ca="1" si="20"/>
        <v>0</v>
      </c>
      <c r="AB104" s="1">
        <f t="shared" si="21"/>
        <v>14</v>
      </c>
      <c r="AC104" s="1">
        <f t="shared" si="22"/>
        <v>0</v>
      </c>
    </row>
    <row r="105" spans="1:29" ht="18.75" x14ac:dyDescent="0.3">
      <c r="A105" s="110"/>
      <c r="B105" s="111"/>
      <c r="C105" s="4"/>
      <c r="D105" s="4"/>
      <c r="E105" s="4"/>
      <c r="F105" s="4"/>
      <c r="G105" s="4"/>
      <c r="H105" s="4"/>
      <c r="I105" s="4"/>
      <c r="J105" s="4"/>
      <c r="K105" s="4"/>
      <c r="V105" s="1" t="s">
        <v>79</v>
      </c>
      <c r="W105" s="1">
        <f t="shared" si="23"/>
        <v>2025</v>
      </c>
      <c r="X105" s="1">
        <f t="shared" si="18"/>
        <v>2025.8</v>
      </c>
      <c r="Y105" s="1">
        <f t="shared" si="19"/>
        <v>0</v>
      </c>
      <c r="AA105" s="1">
        <f t="shared" ca="1" si="20"/>
        <v>0</v>
      </c>
      <c r="AB105" s="1">
        <f t="shared" si="21"/>
        <v>18</v>
      </c>
      <c r="AC105" s="1">
        <f t="shared" si="22"/>
        <v>0</v>
      </c>
    </row>
    <row r="106" spans="1:29" s="7" customFormat="1" x14ac:dyDescent="0.25">
      <c r="A106" s="3"/>
      <c r="B106" s="3"/>
      <c r="C106" s="4"/>
      <c r="D106" s="4"/>
      <c r="E106" s="4"/>
      <c r="F106" s="4"/>
      <c r="G106" s="4"/>
      <c r="H106" s="4"/>
      <c r="I106" s="4"/>
      <c r="J106" s="4"/>
      <c r="K106" s="4"/>
      <c r="L106" s="1"/>
      <c r="M106" s="1"/>
      <c r="N106" s="1"/>
      <c r="O106" s="1"/>
      <c r="P106" s="1"/>
      <c r="Q106" s="1"/>
      <c r="R106" s="1"/>
      <c r="V106" s="1" t="s">
        <v>78</v>
      </c>
      <c r="W106" s="1">
        <f t="shared" si="23"/>
        <v>2026</v>
      </c>
      <c r="X106" s="1">
        <f t="shared" si="18"/>
        <v>2026.1</v>
      </c>
      <c r="Y106" s="1">
        <f t="shared" si="19"/>
        <v>0</v>
      </c>
      <c r="Z106" s="1"/>
      <c r="AA106" s="1">
        <f t="shared" ca="1" si="20"/>
        <v>0</v>
      </c>
      <c r="AB106" s="1">
        <f t="shared" si="21"/>
        <v>18</v>
      </c>
      <c r="AC106" s="1">
        <f t="shared" si="22"/>
        <v>0</v>
      </c>
    </row>
    <row r="107" spans="1:29" s="7" customFormat="1" x14ac:dyDescent="0.25">
      <c r="A107" s="4"/>
      <c r="B107" s="4"/>
      <c r="C107" s="4"/>
      <c r="D107" s="4"/>
      <c r="E107" s="4"/>
      <c r="F107" s="4"/>
      <c r="G107" s="4"/>
      <c r="H107" s="4"/>
      <c r="I107" s="4"/>
      <c r="J107" s="4"/>
      <c r="K107" s="4"/>
      <c r="L107" s="1"/>
      <c r="M107" s="1"/>
      <c r="N107" s="1"/>
      <c r="O107" s="1"/>
      <c r="P107" s="1"/>
      <c r="Q107" s="1"/>
      <c r="R107" s="1"/>
      <c r="V107" s="1" t="s">
        <v>81</v>
      </c>
      <c r="W107" s="1">
        <f t="shared" si="23"/>
        <v>2026</v>
      </c>
      <c r="X107" s="1">
        <f t="shared" si="18"/>
        <v>2026.5</v>
      </c>
      <c r="Y107" s="1">
        <f t="shared" si="19"/>
        <v>0</v>
      </c>
      <c r="Z107" s="1"/>
      <c r="AA107" s="1">
        <f t="shared" ca="1" si="20"/>
        <v>0</v>
      </c>
      <c r="AB107" s="1">
        <f t="shared" si="21"/>
        <v>14</v>
      </c>
      <c r="AC107" s="1">
        <f t="shared" si="22"/>
        <v>0</v>
      </c>
    </row>
    <row r="108" spans="1:29" s="7" customFormat="1" x14ac:dyDescent="0.25">
      <c r="A108" s="4"/>
      <c r="B108" s="4"/>
      <c r="C108" s="4"/>
      <c r="D108" s="4"/>
      <c r="E108" s="4"/>
      <c r="F108" s="4"/>
      <c r="G108" s="4"/>
      <c r="H108" s="4"/>
      <c r="I108" s="4"/>
      <c r="J108" s="4"/>
      <c r="K108" s="4"/>
      <c r="L108" s="1"/>
      <c r="M108" s="1"/>
      <c r="N108" s="1"/>
      <c r="O108" s="1"/>
      <c r="P108" s="1"/>
      <c r="Q108" s="1"/>
      <c r="R108" s="1"/>
      <c r="V108" s="1" t="s">
        <v>79</v>
      </c>
      <c r="W108" s="1">
        <f t="shared" si="23"/>
        <v>2026</v>
      </c>
      <c r="X108" s="1">
        <f t="shared" si="18"/>
        <v>2026.8</v>
      </c>
      <c r="Y108" s="1">
        <f t="shared" si="19"/>
        <v>0</v>
      </c>
      <c r="Z108" s="1"/>
      <c r="AA108" s="1">
        <f t="shared" ca="1" si="20"/>
        <v>0</v>
      </c>
      <c r="AB108" s="1">
        <f t="shared" si="21"/>
        <v>18</v>
      </c>
      <c r="AC108" s="1">
        <f t="shared" si="22"/>
        <v>0</v>
      </c>
    </row>
    <row r="109" spans="1:29" s="7" customFormat="1" x14ac:dyDescent="0.25">
      <c r="A109" s="4"/>
      <c r="B109" s="4"/>
      <c r="C109" s="4"/>
      <c r="D109" s="4"/>
      <c r="E109" s="4"/>
      <c r="F109" s="4"/>
      <c r="G109" s="4"/>
      <c r="H109" s="4"/>
      <c r="I109" s="4"/>
      <c r="J109" s="4"/>
      <c r="K109" s="4"/>
      <c r="L109" s="1"/>
      <c r="M109" s="1"/>
      <c r="N109" s="1"/>
      <c r="O109" s="1"/>
      <c r="P109" s="1"/>
      <c r="Q109" s="1"/>
      <c r="R109" s="1"/>
      <c r="V109" s="1" t="s">
        <v>78</v>
      </c>
      <c r="W109" s="1">
        <f t="shared" si="23"/>
        <v>2027</v>
      </c>
      <c r="X109" s="1">
        <f t="shared" si="18"/>
        <v>2027.1</v>
      </c>
      <c r="Y109" s="1">
        <f t="shared" si="19"/>
        <v>0</v>
      </c>
      <c r="Z109" s="1"/>
      <c r="AA109" s="1">
        <f t="shared" ca="1" si="20"/>
        <v>0</v>
      </c>
      <c r="AB109" s="1">
        <f t="shared" si="21"/>
        <v>18</v>
      </c>
      <c r="AC109" s="1">
        <f t="shared" si="22"/>
        <v>0</v>
      </c>
    </row>
    <row r="110" spans="1:29" s="7" customFormat="1" x14ac:dyDescent="0.25">
      <c r="A110" s="4"/>
      <c r="B110" s="4"/>
      <c r="C110" s="4"/>
      <c r="D110" s="4"/>
      <c r="V110" s="1" t="s">
        <v>81</v>
      </c>
      <c r="W110" s="1">
        <f t="shared" si="23"/>
        <v>2027</v>
      </c>
      <c r="X110" s="1">
        <f t="shared" si="18"/>
        <v>2027.5</v>
      </c>
      <c r="Y110" s="1">
        <f t="shared" si="19"/>
        <v>0</v>
      </c>
      <c r="Z110" s="1"/>
      <c r="AA110" s="1">
        <f t="shared" ca="1" si="20"/>
        <v>0</v>
      </c>
      <c r="AB110" s="1">
        <f t="shared" si="21"/>
        <v>14</v>
      </c>
      <c r="AC110" s="1">
        <f t="shared" si="22"/>
        <v>0</v>
      </c>
    </row>
    <row r="111" spans="1:29" x14ac:dyDescent="0.25">
      <c r="A111" s="4"/>
      <c r="B111" s="4"/>
      <c r="C111" s="4"/>
      <c r="D111" s="4"/>
      <c r="E111" s="7"/>
      <c r="F111" s="7"/>
      <c r="G111" s="7"/>
      <c r="H111" s="7"/>
      <c r="I111" s="7"/>
      <c r="J111" s="7"/>
      <c r="K111" s="7"/>
      <c r="L111" s="7"/>
      <c r="M111" s="7"/>
      <c r="N111" s="7"/>
      <c r="O111" s="7"/>
      <c r="P111" s="7"/>
      <c r="Q111" s="7"/>
      <c r="R111" s="7"/>
      <c r="V111" s="1" t="s">
        <v>79</v>
      </c>
      <c r="W111" s="1">
        <f t="shared" si="23"/>
        <v>2027</v>
      </c>
      <c r="X111" s="1">
        <f t="shared" si="18"/>
        <v>2027.8</v>
      </c>
      <c r="Y111" s="1">
        <f t="shared" si="19"/>
        <v>0</v>
      </c>
      <c r="AA111" s="1">
        <f t="shared" ca="1" si="20"/>
        <v>0</v>
      </c>
      <c r="AB111" s="1">
        <f t="shared" si="21"/>
        <v>18</v>
      </c>
      <c r="AC111" s="1">
        <f t="shared" si="22"/>
        <v>0</v>
      </c>
    </row>
    <row r="112" spans="1:29" x14ac:dyDescent="0.25">
      <c r="A112" s="4"/>
      <c r="B112" s="4"/>
      <c r="C112" s="4"/>
      <c r="D112" s="4"/>
      <c r="E112" s="8"/>
      <c r="F112" s="8"/>
      <c r="G112" s="7"/>
      <c r="H112" s="8"/>
      <c r="I112" s="8"/>
      <c r="J112" s="7"/>
      <c r="K112" s="7"/>
      <c r="L112" s="7"/>
      <c r="M112" s="7"/>
      <c r="N112" s="7"/>
      <c r="O112" s="7"/>
      <c r="P112" s="7"/>
      <c r="Q112" s="7"/>
      <c r="R112" s="7"/>
      <c r="V112" s="1" t="s">
        <v>78</v>
      </c>
      <c r="W112" s="1">
        <f t="shared" si="23"/>
        <v>2028</v>
      </c>
      <c r="X112" s="1">
        <f t="shared" si="18"/>
        <v>2028.1</v>
      </c>
      <c r="Y112" s="1">
        <f t="shared" si="19"/>
        <v>0</v>
      </c>
      <c r="AA112" s="1">
        <f t="shared" ca="1" si="20"/>
        <v>0</v>
      </c>
      <c r="AB112" s="1">
        <f t="shared" si="21"/>
        <v>18</v>
      </c>
      <c r="AC112" s="1">
        <f t="shared" si="22"/>
        <v>0</v>
      </c>
    </row>
    <row r="113" spans="1:29" x14ac:dyDescent="0.25">
      <c r="A113" s="4"/>
      <c r="B113" s="4"/>
      <c r="C113" s="4"/>
      <c r="D113" s="4"/>
      <c r="E113" s="8"/>
      <c r="F113" s="8"/>
      <c r="G113" s="7"/>
      <c r="H113" s="8"/>
      <c r="I113" s="8"/>
      <c r="J113" s="7"/>
      <c r="K113" s="7"/>
      <c r="L113" s="7"/>
      <c r="M113" s="7"/>
      <c r="N113" s="7"/>
      <c r="O113" s="7"/>
      <c r="P113" s="7"/>
      <c r="Q113" s="7"/>
      <c r="R113" s="7"/>
      <c r="V113" s="1" t="s">
        <v>81</v>
      </c>
      <c r="W113" s="1">
        <f t="shared" ref="W113:W133" si="24">W110+1</f>
        <v>2028</v>
      </c>
      <c r="X113" s="1">
        <f t="shared" ref="X113:X117" si="25">IF(V113="FA",W113+0.8,IF(V113="SP",W113+0.1,W113+0.5))</f>
        <v>2028.5</v>
      </c>
      <c r="Y113" s="1">
        <f t="shared" ref="Y113:Y127" si="26">SUMIF($X$10:$X$77,X113,$Y$10:$Y$77)+SUMIF($V$10:$V$77,X113,$W$10:$W$77)</f>
        <v>0</v>
      </c>
      <c r="AA113" s="1">
        <f t="shared" ref="AA113:AA117" ca="1" si="27">IF($W$3&gt;X113,1,0)</f>
        <v>0</v>
      </c>
      <c r="AB113" s="1">
        <f t="shared" ref="AB113:AB117" si="28">IF(OR(V113="FA",V113="SP"),18,14)</f>
        <v>14</v>
      </c>
      <c r="AC113" s="1">
        <f t="shared" ref="AC113:AC117" si="29">IF(Y113&gt;AB113,1,0)</f>
        <v>0</v>
      </c>
    </row>
    <row r="114" spans="1:29" x14ac:dyDescent="0.25">
      <c r="A114" s="4"/>
      <c r="B114" s="4"/>
      <c r="C114" s="4"/>
      <c r="D114" s="4"/>
      <c r="E114" s="8"/>
      <c r="F114" s="8"/>
      <c r="G114" s="7"/>
      <c r="H114" s="8"/>
      <c r="I114" s="8"/>
      <c r="J114" s="7"/>
      <c r="K114" s="7"/>
      <c r="L114" s="7"/>
      <c r="M114" s="7"/>
      <c r="N114" s="7"/>
      <c r="O114" s="7"/>
      <c r="P114" s="7"/>
      <c r="Q114" s="7"/>
      <c r="R114" s="7"/>
      <c r="V114" s="1" t="s">
        <v>79</v>
      </c>
      <c r="W114" s="1">
        <f t="shared" si="24"/>
        <v>2028</v>
      </c>
      <c r="X114" s="1">
        <f t="shared" si="25"/>
        <v>2028.8</v>
      </c>
      <c r="Y114" s="1">
        <f t="shared" si="26"/>
        <v>0</v>
      </c>
      <c r="AA114" s="1">
        <f t="shared" ca="1" si="27"/>
        <v>0</v>
      </c>
      <c r="AB114" s="1">
        <f t="shared" si="28"/>
        <v>18</v>
      </c>
      <c r="AC114" s="1">
        <f t="shared" si="29"/>
        <v>0</v>
      </c>
    </row>
    <row r="115" spans="1:29" x14ac:dyDescent="0.25">
      <c r="A115" s="4"/>
      <c r="B115" s="4"/>
      <c r="C115" s="4"/>
      <c r="D115" s="4"/>
      <c r="V115" s="1" t="s">
        <v>78</v>
      </c>
      <c r="W115" s="1">
        <f t="shared" si="24"/>
        <v>2029</v>
      </c>
      <c r="X115" s="1">
        <f t="shared" si="25"/>
        <v>2029.1</v>
      </c>
      <c r="Y115" s="1">
        <f t="shared" si="26"/>
        <v>0</v>
      </c>
      <c r="AA115" s="1">
        <f t="shared" ca="1" si="27"/>
        <v>0</v>
      </c>
      <c r="AB115" s="1">
        <f t="shared" si="28"/>
        <v>18</v>
      </c>
      <c r="AC115" s="1">
        <f t="shared" si="29"/>
        <v>0</v>
      </c>
    </row>
    <row r="116" spans="1:29" x14ac:dyDescent="0.25">
      <c r="A116" s="4"/>
      <c r="B116" s="4"/>
      <c r="C116" s="4"/>
      <c r="D116" s="4"/>
      <c r="V116" s="1" t="s">
        <v>81</v>
      </c>
      <c r="W116" s="1">
        <f t="shared" si="24"/>
        <v>2029</v>
      </c>
      <c r="X116" s="1">
        <f t="shared" si="25"/>
        <v>2029.5</v>
      </c>
      <c r="Y116" s="1">
        <f t="shared" si="26"/>
        <v>0</v>
      </c>
      <c r="AA116" s="1">
        <f t="shared" ca="1" si="27"/>
        <v>0</v>
      </c>
      <c r="AB116" s="1">
        <f t="shared" si="28"/>
        <v>14</v>
      </c>
      <c r="AC116" s="1">
        <f t="shared" si="29"/>
        <v>0</v>
      </c>
    </row>
    <row r="117" spans="1:29" x14ac:dyDescent="0.25">
      <c r="A117" s="4"/>
      <c r="B117" s="4"/>
      <c r="C117" s="4"/>
      <c r="D117" s="4"/>
      <c r="V117" s="1" t="s">
        <v>79</v>
      </c>
      <c r="W117" s="1">
        <f t="shared" si="24"/>
        <v>2029</v>
      </c>
      <c r="X117" s="1">
        <f t="shared" si="25"/>
        <v>2029.8</v>
      </c>
      <c r="Y117" s="1">
        <f t="shared" si="26"/>
        <v>0</v>
      </c>
      <c r="AA117" s="1">
        <f t="shared" ca="1" si="27"/>
        <v>0</v>
      </c>
      <c r="AB117" s="1">
        <f t="shared" si="28"/>
        <v>18</v>
      </c>
      <c r="AC117" s="1">
        <f t="shared" si="29"/>
        <v>0</v>
      </c>
    </row>
    <row r="118" spans="1:29" x14ac:dyDescent="0.25">
      <c r="A118" s="4"/>
      <c r="B118" s="4"/>
      <c r="C118" s="4"/>
      <c r="D118" s="4"/>
      <c r="V118" s="1" t="s">
        <v>78</v>
      </c>
      <c r="W118" s="1">
        <f t="shared" si="24"/>
        <v>2030</v>
      </c>
      <c r="X118" s="1">
        <f t="shared" ref="X118:X120" si="30">IF(V118="FA",W118+0.8,IF(V118="SP",W118+0.1,W118+0.5))</f>
        <v>2030.1</v>
      </c>
      <c r="Y118" s="1">
        <f t="shared" si="26"/>
        <v>0</v>
      </c>
      <c r="AA118" s="1">
        <f t="shared" ref="AA118:AA120" ca="1" si="31">IF($W$3&gt;X118,1,0)</f>
        <v>0</v>
      </c>
      <c r="AB118" s="1">
        <f t="shared" ref="AB118:AB120" si="32">IF(OR(V118="FA",V118="SP"),18,14)</f>
        <v>18</v>
      </c>
      <c r="AC118" s="1">
        <f t="shared" ref="AC118:AC120" si="33">IF(Y118&gt;AB118,1,0)</f>
        <v>0</v>
      </c>
    </row>
    <row r="119" spans="1:29" x14ac:dyDescent="0.25">
      <c r="A119" s="4"/>
      <c r="B119" s="4"/>
      <c r="C119" s="4"/>
      <c r="D119" s="4"/>
      <c r="V119" s="1" t="s">
        <v>81</v>
      </c>
      <c r="W119" s="1">
        <f t="shared" si="24"/>
        <v>2030</v>
      </c>
      <c r="X119" s="1">
        <f t="shared" si="30"/>
        <v>2030.5</v>
      </c>
      <c r="Y119" s="1">
        <f t="shared" si="26"/>
        <v>0</v>
      </c>
      <c r="AA119" s="1">
        <f t="shared" ca="1" si="31"/>
        <v>0</v>
      </c>
      <c r="AB119" s="1">
        <f t="shared" si="32"/>
        <v>14</v>
      </c>
      <c r="AC119" s="1">
        <f t="shared" si="33"/>
        <v>0</v>
      </c>
    </row>
    <row r="120" spans="1:29" x14ac:dyDescent="0.25">
      <c r="A120" s="4"/>
      <c r="B120" s="4"/>
      <c r="C120" s="4"/>
      <c r="D120" s="4"/>
      <c r="V120" s="1" t="s">
        <v>79</v>
      </c>
      <c r="W120" s="1">
        <f t="shared" si="24"/>
        <v>2030</v>
      </c>
      <c r="X120" s="1">
        <f t="shared" si="30"/>
        <v>2030.8</v>
      </c>
      <c r="Y120" s="1">
        <f t="shared" si="26"/>
        <v>0</v>
      </c>
      <c r="AA120" s="1">
        <f t="shared" ca="1" si="31"/>
        <v>0</v>
      </c>
      <c r="AB120" s="1">
        <f t="shared" si="32"/>
        <v>18</v>
      </c>
      <c r="AC120" s="1">
        <f t="shared" si="33"/>
        <v>0</v>
      </c>
    </row>
    <row r="121" spans="1:29" x14ac:dyDescent="0.25">
      <c r="A121" s="4"/>
      <c r="B121" s="4"/>
      <c r="C121" s="4"/>
      <c r="D121" s="4"/>
      <c r="V121" s="1" t="s">
        <v>78</v>
      </c>
      <c r="W121" s="1">
        <f t="shared" si="24"/>
        <v>2031</v>
      </c>
      <c r="X121" s="1">
        <f t="shared" ref="X121:X123" si="34">IF(V121="FA",W121+0.8,IF(V121="SP",W121+0.1,W121+0.5))</f>
        <v>2031.1</v>
      </c>
      <c r="Y121" s="1">
        <f t="shared" si="26"/>
        <v>0</v>
      </c>
      <c r="AA121" s="1">
        <f t="shared" ref="AA121:AA123" ca="1" si="35">IF($W$3&gt;X121,1,0)</f>
        <v>0</v>
      </c>
      <c r="AB121" s="1">
        <f t="shared" ref="AB121:AB123" si="36">IF(OR(V121="FA",V121="SP"),18,14)</f>
        <v>18</v>
      </c>
      <c r="AC121" s="1">
        <f t="shared" ref="AC121:AC123" si="37">IF(Y121&gt;AB121,1,0)</f>
        <v>0</v>
      </c>
    </row>
    <row r="122" spans="1:29" x14ac:dyDescent="0.25">
      <c r="A122" s="8"/>
      <c r="V122" s="1" t="s">
        <v>81</v>
      </c>
      <c r="W122" s="1">
        <f t="shared" si="24"/>
        <v>2031</v>
      </c>
      <c r="X122" s="1">
        <f t="shared" si="34"/>
        <v>2031.5</v>
      </c>
      <c r="Y122" s="1">
        <f t="shared" si="26"/>
        <v>0</v>
      </c>
      <c r="AA122" s="1">
        <f t="shared" ca="1" si="35"/>
        <v>0</v>
      </c>
      <c r="AB122" s="1">
        <f t="shared" si="36"/>
        <v>14</v>
      </c>
      <c r="AC122" s="1">
        <f t="shared" si="37"/>
        <v>0</v>
      </c>
    </row>
    <row r="123" spans="1:29" x14ac:dyDescent="0.25">
      <c r="V123" s="1" t="s">
        <v>79</v>
      </c>
      <c r="W123" s="1">
        <f t="shared" si="24"/>
        <v>2031</v>
      </c>
      <c r="X123" s="1">
        <f t="shared" si="34"/>
        <v>2031.8</v>
      </c>
      <c r="Y123" s="1">
        <f t="shared" si="26"/>
        <v>0</v>
      </c>
      <c r="AA123" s="1">
        <f t="shared" ca="1" si="35"/>
        <v>0</v>
      </c>
      <c r="AB123" s="1">
        <f t="shared" si="36"/>
        <v>18</v>
      </c>
      <c r="AC123" s="1">
        <f t="shared" si="37"/>
        <v>0</v>
      </c>
    </row>
    <row r="124" spans="1:29" x14ac:dyDescent="0.25">
      <c r="V124" s="1" t="s">
        <v>78</v>
      </c>
      <c r="W124" s="1">
        <f t="shared" si="24"/>
        <v>2032</v>
      </c>
      <c r="X124" s="1">
        <f t="shared" ref="X124:X126" si="38">IF(V124="FA",W124+0.8,IF(V124="SP",W124+0.1,W124+0.5))</f>
        <v>2032.1</v>
      </c>
      <c r="Y124" s="1">
        <f t="shared" si="26"/>
        <v>0</v>
      </c>
      <c r="AA124" s="1">
        <f t="shared" ref="AA124:AA126" ca="1" si="39">IF($W$3&gt;X124,1,0)</f>
        <v>0</v>
      </c>
      <c r="AB124" s="1">
        <f t="shared" ref="AB124:AB126" si="40">IF(OR(V124="FA",V124="SP"),18,14)</f>
        <v>18</v>
      </c>
      <c r="AC124" s="1">
        <f t="shared" ref="AC124:AC126" si="41">IF(Y124&gt;AB124,1,0)</f>
        <v>0</v>
      </c>
    </row>
    <row r="125" spans="1:29" x14ac:dyDescent="0.25">
      <c r="V125" s="1" t="s">
        <v>81</v>
      </c>
      <c r="W125" s="1">
        <f t="shared" si="24"/>
        <v>2032</v>
      </c>
      <c r="X125" s="1">
        <f t="shared" si="38"/>
        <v>2032.5</v>
      </c>
      <c r="Y125" s="1">
        <f t="shared" si="26"/>
        <v>0</v>
      </c>
      <c r="AA125" s="1">
        <f t="shared" ca="1" si="39"/>
        <v>0</v>
      </c>
      <c r="AB125" s="1">
        <f t="shared" si="40"/>
        <v>14</v>
      </c>
      <c r="AC125" s="1">
        <f t="shared" si="41"/>
        <v>0</v>
      </c>
    </row>
    <row r="126" spans="1:29" x14ac:dyDescent="0.25">
      <c r="V126" s="1" t="s">
        <v>79</v>
      </c>
      <c r="W126" s="1">
        <f t="shared" si="24"/>
        <v>2032</v>
      </c>
      <c r="X126" s="1">
        <f t="shared" si="38"/>
        <v>2032.8</v>
      </c>
      <c r="Y126" s="1">
        <f t="shared" si="26"/>
        <v>0</v>
      </c>
      <c r="AA126" s="1">
        <f t="shared" ca="1" si="39"/>
        <v>0</v>
      </c>
      <c r="AB126" s="1">
        <f t="shared" si="40"/>
        <v>18</v>
      </c>
      <c r="AC126" s="1">
        <f t="shared" si="41"/>
        <v>0</v>
      </c>
    </row>
    <row r="127" spans="1:29" x14ac:dyDescent="0.25">
      <c r="V127" s="1" t="s">
        <v>78</v>
      </c>
      <c r="W127" s="1">
        <f t="shared" si="24"/>
        <v>2033</v>
      </c>
      <c r="X127" s="1">
        <f t="shared" ref="X127:X129" si="42">IF(V127="FA",W127+0.8,IF(V127="SP",W127+0.1,W127+0.5))</f>
        <v>2033.1</v>
      </c>
      <c r="Y127" s="1">
        <f t="shared" si="26"/>
        <v>0</v>
      </c>
      <c r="AA127" s="1">
        <f t="shared" ref="AA127" ca="1" si="43">IF($W$3&gt;X127,1,0)</f>
        <v>0</v>
      </c>
      <c r="AB127" s="1">
        <f t="shared" ref="AB127" si="44">IF(OR(V127="FA",V127="SP"),18,14)</f>
        <v>18</v>
      </c>
      <c r="AC127" s="1">
        <f t="shared" ref="AC127" si="45">IF(Y127&gt;AB127,1,0)</f>
        <v>0</v>
      </c>
    </row>
    <row r="128" spans="1:29" x14ac:dyDescent="0.25">
      <c r="V128" s="1" t="s">
        <v>81</v>
      </c>
      <c r="W128" s="1">
        <f t="shared" si="24"/>
        <v>2033</v>
      </c>
      <c r="X128" s="1">
        <f t="shared" si="42"/>
        <v>2033.5</v>
      </c>
      <c r="Y128" s="1">
        <f t="shared" ref="Y128:Y133" si="46">SUMIF($X$10:$X$77,X128,$Y$10:$Y$77)+SUMIF($V$10:$V$77,X128,$W$10:$W$77)</f>
        <v>0</v>
      </c>
      <c r="AA128" s="1">
        <f t="shared" ref="AA128:AA133" ca="1" si="47">IF($W$3&gt;X128,1,0)</f>
        <v>0</v>
      </c>
      <c r="AB128" s="1">
        <f t="shared" ref="AB128:AB133" si="48">IF(OR(V128="FA",V128="SP"),18,14)</f>
        <v>14</v>
      </c>
      <c r="AC128" s="1">
        <f t="shared" ref="AC128:AC133" si="49">IF(Y128&gt;AB128,1,0)</f>
        <v>0</v>
      </c>
    </row>
    <row r="129" spans="22:29" x14ac:dyDescent="0.25">
      <c r="V129" s="1" t="s">
        <v>79</v>
      </c>
      <c r="W129" s="1">
        <f t="shared" si="24"/>
        <v>2033</v>
      </c>
      <c r="X129" s="1">
        <f t="shared" si="42"/>
        <v>2033.8</v>
      </c>
      <c r="Y129" s="1">
        <f t="shared" si="46"/>
        <v>0</v>
      </c>
      <c r="AA129" s="1">
        <f t="shared" ca="1" si="47"/>
        <v>0</v>
      </c>
      <c r="AB129" s="1">
        <f t="shared" si="48"/>
        <v>18</v>
      </c>
      <c r="AC129" s="1">
        <f t="shared" si="49"/>
        <v>0</v>
      </c>
    </row>
    <row r="130" spans="22:29" x14ac:dyDescent="0.25">
      <c r="V130" s="1" t="s">
        <v>78</v>
      </c>
      <c r="W130" s="1">
        <f t="shared" si="24"/>
        <v>2034</v>
      </c>
      <c r="X130" s="1">
        <f t="shared" ref="X130:X133" si="50">IF(V130="FA",W130+0.8,IF(V130="SP",W130+0.1,W130+0.5))</f>
        <v>2034.1</v>
      </c>
      <c r="Y130" s="1">
        <f t="shared" si="46"/>
        <v>0</v>
      </c>
      <c r="AA130" s="1">
        <f t="shared" ca="1" si="47"/>
        <v>0</v>
      </c>
      <c r="AB130" s="1">
        <f t="shared" si="48"/>
        <v>18</v>
      </c>
      <c r="AC130" s="1">
        <f t="shared" si="49"/>
        <v>0</v>
      </c>
    </row>
    <row r="131" spans="22:29" x14ac:dyDescent="0.25">
      <c r="V131" s="1" t="s">
        <v>81</v>
      </c>
      <c r="W131" s="1">
        <f t="shared" si="24"/>
        <v>2034</v>
      </c>
      <c r="X131" s="1">
        <f t="shared" si="50"/>
        <v>2034.5</v>
      </c>
      <c r="Y131" s="1">
        <f t="shared" si="46"/>
        <v>0</v>
      </c>
      <c r="AA131" s="1">
        <f t="shared" ca="1" si="47"/>
        <v>0</v>
      </c>
      <c r="AB131" s="1">
        <f t="shared" si="48"/>
        <v>14</v>
      </c>
      <c r="AC131" s="1">
        <f t="shared" si="49"/>
        <v>0</v>
      </c>
    </row>
    <row r="132" spans="22:29" x14ac:dyDescent="0.25">
      <c r="V132" s="1" t="s">
        <v>79</v>
      </c>
      <c r="W132" s="1">
        <f t="shared" si="24"/>
        <v>2034</v>
      </c>
      <c r="X132" s="1">
        <f t="shared" si="50"/>
        <v>2034.8</v>
      </c>
      <c r="Y132" s="1">
        <f t="shared" si="46"/>
        <v>0</v>
      </c>
      <c r="AA132" s="1">
        <f t="shared" ca="1" si="47"/>
        <v>0</v>
      </c>
      <c r="AB132" s="1">
        <f t="shared" si="48"/>
        <v>18</v>
      </c>
      <c r="AC132" s="1">
        <f t="shared" si="49"/>
        <v>0</v>
      </c>
    </row>
    <row r="133" spans="22:29" x14ac:dyDescent="0.25">
      <c r="V133" s="1" t="s">
        <v>78</v>
      </c>
      <c r="W133" s="1">
        <f t="shared" si="24"/>
        <v>2035</v>
      </c>
      <c r="X133" s="1">
        <f t="shared" si="50"/>
        <v>2035.1</v>
      </c>
      <c r="Y133" s="1">
        <f t="shared" si="46"/>
        <v>0</v>
      </c>
      <c r="AA133" s="1">
        <f t="shared" ca="1" si="47"/>
        <v>0</v>
      </c>
      <c r="AB133" s="1">
        <f t="shared" si="48"/>
        <v>18</v>
      </c>
      <c r="AC133" s="1">
        <f t="shared" si="49"/>
        <v>0</v>
      </c>
    </row>
    <row r="137" spans="22:29" x14ac:dyDescent="0.25">
      <c r="V137" s="1" t="s">
        <v>145</v>
      </c>
      <c r="Y137" s="1">
        <f>SUMIF(O11:O78,"TR",Q11:Q78)+SUMIF(E11:E78,"TR",G11:G78)</f>
        <v>0</v>
      </c>
    </row>
    <row r="139" spans="22:29" x14ac:dyDescent="0.25">
      <c r="V139" s="1" t="s">
        <v>112</v>
      </c>
      <c r="Y139" s="1">
        <f>SUM(Y81:Y137)</f>
        <v>0</v>
      </c>
      <c r="AC139" s="1">
        <f>SUM(AC81:AC124)</f>
        <v>0</v>
      </c>
    </row>
  </sheetData>
  <sheetProtection algorithmName="SHA-512" hashValue="EzDCj2K2+zPVVQzO3MKNY1wUBs/M1sDfw6jZrm4x18GWaCwYGDWbxg/iv570s9CJEAVqm2SFyBha58QYJ9Ef4A==" saltValue="E7/B8LSvp5mBjqInUlCODw==" spinCount="100000" sheet="1" objects="1" scenarios="1"/>
  <mergeCells count="344">
    <mergeCell ref="A75:B76"/>
    <mergeCell ref="C75:D75"/>
    <mergeCell ref="C76:D76"/>
    <mergeCell ref="K75:L76"/>
    <mergeCell ref="A86:N86"/>
    <mergeCell ref="Q75:Q76"/>
    <mergeCell ref="P73:P74"/>
    <mergeCell ref="P75:P76"/>
    <mergeCell ref="K73:L74"/>
    <mergeCell ref="C73:D73"/>
    <mergeCell ref="C74:D74"/>
    <mergeCell ref="O75:O76"/>
    <mergeCell ref="O73:O74"/>
    <mergeCell ref="H75:H76"/>
    <mergeCell ref="M75:M76"/>
    <mergeCell ref="E75:E76"/>
    <mergeCell ref="M73:M74"/>
    <mergeCell ref="F75:F76"/>
    <mergeCell ref="R54:R55"/>
    <mergeCell ref="R56:R58"/>
    <mergeCell ref="Q56:Q58"/>
    <mergeCell ref="Q54:Q55"/>
    <mergeCell ref="P54:P55"/>
    <mergeCell ref="Q52:Q53"/>
    <mergeCell ref="R52:R53"/>
    <mergeCell ref="R50:R51"/>
    <mergeCell ref="R48:R49"/>
    <mergeCell ref="Q50:Q51"/>
    <mergeCell ref="R46:R47"/>
    <mergeCell ref="P48:P49"/>
    <mergeCell ref="M48:M49"/>
    <mergeCell ref="O50:O51"/>
    <mergeCell ref="O48:O49"/>
    <mergeCell ref="M46:M47"/>
    <mergeCell ref="Q46:Q47"/>
    <mergeCell ref="P52:P53"/>
    <mergeCell ref="P46:P47"/>
    <mergeCell ref="Q48:Q49"/>
    <mergeCell ref="P50:P51"/>
    <mergeCell ref="R42:R43"/>
    <mergeCell ref="A43:B43"/>
    <mergeCell ref="L40:L41"/>
    <mergeCell ref="K36:L37"/>
    <mergeCell ref="A28:A30"/>
    <mergeCell ref="A31:A33"/>
    <mergeCell ref="B31:B33"/>
    <mergeCell ref="C43:D43"/>
    <mergeCell ref="C42:D42"/>
    <mergeCell ref="F40:F41"/>
    <mergeCell ref="F42:F43"/>
    <mergeCell ref="C38:C39"/>
    <mergeCell ref="G28:G30"/>
    <mergeCell ref="P40:P41"/>
    <mergeCell ref="P36:P37"/>
    <mergeCell ref="R40:R41"/>
    <mergeCell ref="P38:P39"/>
    <mergeCell ref="Q40:Q41"/>
    <mergeCell ref="Q34:Q35"/>
    <mergeCell ref="R34:R35"/>
    <mergeCell ref="Q36:Q37"/>
    <mergeCell ref="R36:R37"/>
    <mergeCell ref="M34:M35"/>
    <mergeCell ref="Q38:Q39"/>
    <mergeCell ref="P17:P18"/>
    <mergeCell ref="Q17:Q18"/>
    <mergeCell ref="R17:R18"/>
    <mergeCell ref="K17:L18"/>
    <mergeCell ref="M17:M18"/>
    <mergeCell ref="R21:R22"/>
    <mergeCell ref="Q31:Q33"/>
    <mergeCell ref="P28:P30"/>
    <mergeCell ref="P31:P33"/>
    <mergeCell ref="K27:L27"/>
    <mergeCell ref="R31:R33"/>
    <mergeCell ref="Q28:Q30"/>
    <mergeCell ref="R28:R30"/>
    <mergeCell ref="M19:M20"/>
    <mergeCell ref="N29:N30"/>
    <mergeCell ref="N32:N33"/>
    <mergeCell ref="M27:N27"/>
    <mergeCell ref="O31:O33"/>
    <mergeCell ref="R38:R39"/>
    <mergeCell ref="O11:O12"/>
    <mergeCell ref="P15:P16"/>
    <mergeCell ref="R19:R20"/>
    <mergeCell ref="P42:P43"/>
    <mergeCell ref="P21:P22"/>
    <mergeCell ref="O42:O43"/>
    <mergeCell ref="Q19:Q20"/>
    <mergeCell ref="P19:P20"/>
    <mergeCell ref="P11:P12"/>
    <mergeCell ref="P13:P14"/>
    <mergeCell ref="Q11:Q12"/>
    <mergeCell ref="R11:R12"/>
    <mergeCell ref="Q13:Q14"/>
    <mergeCell ref="R13:R14"/>
    <mergeCell ref="Q15:Q16"/>
    <mergeCell ref="R15:R16"/>
    <mergeCell ref="Q42:Q43"/>
    <mergeCell ref="Q21:Q22"/>
    <mergeCell ref="O13:O14"/>
    <mergeCell ref="P34:P35"/>
    <mergeCell ref="O21:O22"/>
    <mergeCell ref="O17:O18"/>
    <mergeCell ref="O28:O30"/>
    <mergeCell ref="O15:O16"/>
    <mergeCell ref="O19:O20"/>
    <mergeCell ref="O34:O35"/>
    <mergeCell ref="M36:M37"/>
    <mergeCell ref="M21:M22"/>
    <mergeCell ref="M31:M33"/>
    <mergeCell ref="M40:M41"/>
    <mergeCell ref="M38:M39"/>
    <mergeCell ref="O38:O39"/>
    <mergeCell ref="O40:O41"/>
    <mergeCell ref="O36:O37"/>
    <mergeCell ref="M42:N42"/>
    <mergeCell ref="M43:N43"/>
    <mergeCell ref="E38:E39"/>
    <mergeCell ref="E40:E41"/>
    <mergeCell ref="E42:E43"/>
    <mergeCell ref="M54:M55"/>
    <mergeCell ref="G46:G47"/>
    <mergeCell ref="H46:H47"/>
    <mergeCell ref="O54:O55"/>
    <mergeCell ref="M45:N45"/>
    <mergeCell ref="M50:M51"/>
    <mergeCell ref="O52:O53"/>
    <mergeCell ref="O46:O47"/>
    <mergeCell ref="K42:L42"/>
    <mergeCell ref="K45:L45"/>
    <mergeCell ref="M52:M53"/>
    <mergeCell ref="E46:E47"/>
    <mergeCell ref="E48:E49"/>
    <mergeCell ref="F48:F49"/>
    <mergeCell ref="A44:R44"/>
    <mergeCell ref="K46:L47"/>
    <mergeCell ref="C40:C41"/>
    <mergeCell ref="C46:C47"/>
    <mergeCell ref="H38:H39"/>
    <mergeCell ref="R75:R76"/>
    <mergeCell ref="Q69:Q70"/>
    <mergeCell ref="R71:R72"/>
    <mergeCell ref="R69:R70"/>
    <mergeCell ref="Q71:Q72"/>
    <mergeCell ref="P69:P70"/>
    <mergeCell ref="P71:P72"/>
    <mergeCell ref="Q73:Q74"/>
    <mergeCell ref="R73:R74"/>
    <mergeCell ref="H62:H68"/>
    <mergeCell ref="K56:K58"/>
    <mergeCell ref="G56:G58"/>
    <mergeCell ref="H56:H58"/>
    <mergeCell ref="H71:H72"/>
    <mergeCell ref="A60:R60"/>
    <mergeCell ref="M69:N69"/>
    <mergeCell ref="K61:L61"/>
    <mergeCell ref="G71:G72"/>
    <mergeCell ref="M56:M58"/>
    <mergeCell ref="P56:P58"/>
    <mergeCell ref="M61:N61"/>
    <mergeCell ref="O56:O58"/>
    <mergeCell ref="O62:O68"/>
    <mergeCell ref="P62:P68"/>
    <mergeCell ref="Q62:Q68"/>
    <mergeCell ref="R62:R68"/>
    <mergeCell ref="F62:F68"/>
    <mergeCell ref="O71:O72"/>
    <mergeCell ref="O69:O70"/>
    <mergeCell ref="E62:E68"/>
    <mergeCell ref="K71:L72"/>
    <mergeCell ref="H69:H70"/>
    <mergeCell ref="C71:D72"/>
    <mergeCell ref="C10:D10"/>
    <mergeCell ref="E21:E22"/>
    <mergeCell ref="F13:F14"/>
    <mergeCell ref="M13:M14"/>
    <mergeCell ref="M11:M12"/>
    <mergeCell ref="G15:G16"/>
    <mergeCell ref="M15:M16"/>
    <mergeCell ref="C11:C12"/>
    <mergeCell ref="H13:H14"/>
    <mergeCell ref="H15:H16"/>
    <mergeCell ref="C13:C14"/>
    <mergeCell ref="K10:L10"/>
    <mergeCell ref="K15:L16"/>
    <mergeCell ref="C15:C16"/>
    <mergeCell ref="L11:L12"/>
    <mergeCell ref="K11:K12"/>
    <mergeCell ref="K13:K14"/>
    <mergeCell ref="E11:E12"/>
    <mergeCell ref="G13:G14"/>
    <mergeCell ref="H11:H12"/>
    <mergeCell ref="F15:F16"/>
    <mergeCell ref="G11:G12"/>
    <mergeCell ref="M10:N10"/>
    <mergeCell ref="E13:E14"/>
    <mergeCell ref="A61:B61"/>
    <mergeCell ref="A73:B74"/>
    <mergeCell ref="G69:G70"/>
    <mergeCell ref="C61:D61"/>
    <mergeCell ref="A71:B72"/>
    <mergeCell ref="E69:E70"/>
    <mergeCell ref="E71:E72"/>
    <mergeCell ref="C69:C70"/>
    <mergeCell ref="F71:F72"/>
    <mergeCell ref="F69:F70"/>
    <mergeCell ref="F73:F74"/>
    <mergeCell ref="G62:G68"/>
    <mergeCell ref="M70:N70"/>
    <mergeCell ref="M72:N72"/>
    <mergeCell ref="E73:E74"/>
    <mergeCell ref="K69:L70"/>
    <mergeCell ref="G75:G76"/>
    <mergeCell ref="H73:H74"/>
    <mergeCell ref="G73:G74"/>
    <mergeCell ref="M71:N71"/>
    <mergeCell ref="L13:L14"/>
    <mergeCell ref="E15:E16"/>
    <mergeCell ref="G36:G37"/>
    <mergeCell ref="H36:H37"/>
    <mergeCell ref="E17:E18"/>
    <mergeCell ref="F17:F18"/>
    <mergeCell ref="G17:G18"/>
    <mergeCell ref="K31:L31"/>
    <mergeCell ref="K28:L28"/>
    <mergeCell ref="G21:G22"/>
    <mergeCell ref="G31:G33"/>
    <mergeCell ref="K19:L20"/>
    <mergeCell ref="E34:E35"/>
    <mergeCell ref="H17:H18"/>
    <mergeCell ref="K34:L35"/>
    <mergeCell ref="E19:E20"/>
    <mergeCell ref="F19:F20"/>
    <mergeCell ref="G19:G20"/>
    <mergeCell ref="H19:H20"/>
    <mergeCell ref="H21:H22"/>
    <mergeCell ref="H23:H24"/>
    <mergeCell ref="H28:H30"/>
    <mergeCell ref="H31:H33"/>
    <mergeCell ref="H34:H35"/>
    <mergeCell ref="A1:R1"/>
    <mergeCell ref="A9:R9"/>
    <mergeCell ref="A26:R26"/>
    <mergeCell ref="F28:F30"/>
    <mergeCell ref="C23:C24"/>
    <mergeCell ref="F23:F24"/>
    <mergeCell ref="D29:D30"/>
    <mergeCell ref="B28:B30"/>
    <mergeCell ref="A23:B24"/>
    <mergeCell ref="F11:F12"/>
    <mergeCell ref="A34:A35"/>
    <mergeCell ref="M28:M30"/>
    <mergeCell ref="A11:B12"/>
    <mergeCell ref="E28:E30"/>
    <mergeCell ref="E31:E33"/>
    <mergeCell ref="C31:C33"/>
    <mergeCell ref="A56:B58"/>
    <mergeCell ref="A54:A55"/>
    <mergeCell ref="B54:B55"/>
    <mergeCell ref="B52:B53"/>
    <mergeCell ref="F54:F55"/>
    <mergeCell ref="E54:E55"/>
    <mergeCell ref="C50:C51"/>
    <mergeCell ref="C52:C53"/>
    <mergeCell ref="C58:D58"/>
    <mergeCell ref="C56:D57"/>
    <mergeCell ref="F52:F53"/>
    <mergeCell ref="F56:F58"/>
    <mergeCell ref="E56:E58"/>
    <mergeCell ref="F50:F51"/>
    <mergeCell ref="E52:E53"/>
    <mergeCell ref="B15:B16"/>
    <mergeCell ref="C19:C20"/>
    <mergeCell ref="C21:D22"/>
    <mergeCell ref="C54:C55"/>
    <mergeCell ref="E50:E51"/>
    <mergeCell ref="B50:B51"/>
    <mergeCell ref="E36:E37"/>
    <mergeCell ref="C36:C37"/>
    <mergeCell ref="C48:C49"/>
    <mergeCell ref="A38:B39"/>
    <mergeCell ref="B40:B41"/>
    <mergeCell ref="A42:B42"/>
    <mergeCell ref="A21:B22"/>
    <mergeCell ref="A40:A41"/>
    <mergeCell ref="A45:B45"/>
    <mergeCell ref="B17:B18"/>
    <mergeCell ref="A13:A18"/>
    <mergeCell ref="A19:B20"/>
    <mergeCell ref="C17:C18"/>
    <mergeCell ref="B13:B14"/>
    <mergeCell ref="H54:H55"/>
    <mergeCell ref="G38:G39"/>
    <mergeCell ref="G40:G41"/>
    <mergeCell ref="H40:H41"/>
    <mergeCell ref="G42:G43"/>
    <mergeCell ref="H42:H43"/>
    <mergeCell ref="G50:G51"/>
    <mergeCell ref="G54:G55"/>
    <mergeCell ref="G52:G53"/>
    <mergeCell ref="H52:H53"/>
    <mergeCell ref="L48:L49"/>
    <mergeCell ref="F21:F22"/>
    <mergeCell ref="C28:C30"/>
    <mergeCell ref="A46:A47"/>
    <mergeCell ref="B46:B47"/>
    <mergeCell ref="K21:L22"/>
    <mergeCell ref="B34:B35"/>
    <mergeCell ref="A48:A49"/>
    <mergeCell ref="B48:B49"/>
    <mergeCell ref="G48:G49"/>
    <mergeCell ref="H48:H49"/>
    <mergeCell ref="F38:F39"/>
    <mergeCell ref="K43:L43"/>
    <mergeCell ref="K38:L39"/>
    <mergeCell ref="G34:G35"/>
    <mergeCell ref="G23:G24"/>
    <mergeCell ref="F31:F33"/>
    <mergeCell ref="F46:F47"/>
    <mergeCell ref="A4:B7"/>
    <mergeCell ref="AF28:AF29"/>
    <mergeCell ref="C5:C6"/>
    <mergeCell ref="D5:D6"/>
    <mergeCell ref="AG28:AG30"/>
    <mergeCell ref="D7:H7"/>
    <mergeCell ref="AC79:AC80"/>
    <mergeCell ref="P2:R2"/>
    <mergeCell ref="A10:B10"/>
    <mergeCell ref="P7:R7"/>
    <mergeCell ref="K7:M7"/>
    <mergeCell ref="H50:H51"/>
    <mergeCell ref="C45:D45"/>
    <mergeCell ref="F34:F35"/>
    <mergeCell ref="A36:B37"/>
    <mergeCell ref="A27:B27"/>
    <mergeCell ref="C27:D27"/>
    <mergeCell ref="D32:D33"/>
    <mergeCell ref="C34:C35"/>
    <mergeCell ref="E23:E24"/>
    <mergeCell ref="F36:F37"/>
    <mergeCell ref="K40:K41"/>
    <mergeCell ref="K51:L51"/>
    <mergeCell ref="K50:L50"/>
  </mergeCells>
  <phoneticPr fontId="1" type="noConversion"/>
  <conditionalFormatting sqref="N22">
    <cfRule type="duplicateValues" dxfId="22" priority="71"/>
  </conditionalFormatting>
  <conditionalFormatting sqref="K74:L74">
    <cfRule type="expression" dxfId="21" priority="85" stopIfTrue="1">
      <formula>IF(N75=N25,"Duplicate LBST course","")</formula>
    </cfRule>
  </conditionalFormatting>
  <conditionalFormatting sqref="K73:L73">
    <cfRule type="expression" dxfId="20" priority="87" stopIfTrue="1">
      <formula>IF(N74=N22,"Duplicate LBST course","")</formula>
    </cfRule>
  </conditionalFormatting>
  <conditionalFormatting sqref="H11:H24">
    <cfRule type="cellIs" dxfId="19" priority="70" operator="equal">
      <formula>$H$5</formula>
    </cfRule>
  </conditionalFormatting>
  <conditionalFormatting sqref="R11:R22">
    <cfRule type="cellIs" dxfId="18" priority="68" operator="equal">
      <formula>$H$5</formula>
    </cfRule>
    <cfRule type="cellIs" dxfId="17" priority="69" operator="equal">
      <formula>$H$5</formula>
    </cfRule>
  </conditionalFormatting>
  <conditionalFormatting sqref="H34:H35">
    <cfRule type="cellIs" dxfId="16" priority="67" operator="equal">
      <formula>$H$5</formula>
    </cfRule>
  </conditionalFormatting>
  <conditionalFormatting sqref="H28:H35">
    <cfRule type="cellIs" dxfId="15" priority="57" operator="equal">
      <formula>$H$5</formula>
    </cfRule>
  </conditionalFormatting>
  <conditionalFormatting sqref="R62:R68">
    <cfRule type="cellIs" dxfId="14" priority="14" operator="equal">
      <formula>$H$5</formula>
    </cfRule>
  </conditionalFormatting>
  <conditionalFormatting sqref="R31:R33">
    <cfRule type="cellIs" dxfId="13" priority="12" operator="equal">
      <formula>$H$5</formula>
    </cfRule>
  </conditionalFormatting>
  <conditionalFormatting sqref="H62:H68">
    <cfRule type="cellIs" dxfId="12" priority="15" operator="equal">
      <formula>$H$5</formula>
    </cfRule>
  </conditionalFormatting>
  <conditionalFormatting sqref="R28:R30">
    <cfRule type="cellIs" dxfId="11" priority="13" operator="equal">
      <formula>$H$5</formula>
    </cfRule>
  </conditionalFormatting>
  <conditionalFormatting sqref="H36:H43">
    <cfRule type="cellIs" dxfId="10" priority="11" operator="equal">
      <formula>$H$5</formula>
    </cfRule>
  </conditionalFormatting>
  <conditionalFormatting sqref="R34:R43">
    <cfRule type="cellIs" dxfId="9" priority="10" operator="equal">
      <formula>$H$5</formula>
    </cfRule>
  </conditionalFormatting>
  <conditionalFormatting sqref="H56:H58">
    <cfRule type="cellIs" dxfId="8" priority="9" operator="equal">
      <formula>$H$5</formula>
    </cfRule>
  </conditionalFormatting>
  <conditionalFormatting sqref="R56:R58">
    <cfRule type="cellIs" dxfId="7" priority="8" operator="equal">
      <formula>$H$5</formula>
    </cfRule>
  </conditionalFormatting>
  <conditionalFormatting sqref="R46:R55">
    <cfRule type="cellIs" dxfId="6" priority="7" operator="equal">
      <formula>$H$5</formula>
    </cfRule>
  </conditionalFormatting>
  <conditionalFormatting sqref="H46:H55">
    <cfRule type="cellIs" dxfId="5" priority="6" operator="equal">
      <formula>$H$5</formula>
    </cfRule>
  </conditionalFormatting>
  <conditionalFormatting sqref="H69:H76">
    <cfRule type="cellIs" dxfId="4" priority="5" operator="equal">
      <formula>$H$5</formula>
    </cfRule>
  </conditionalFormatting>
  <conditionalFormatting sqref="R69:R76">
    <cfRule type="cellIs" dxfId="3" priority="4" operator="equal">
      <formula>$H$5</formula>
    </cfRule>
  </conditionalFormatting>
  <conditionalFormatting sqref="D24">
    <cfRule type="duplicateValues" dxfId="2" priority="3"/>
  </conditionalFormatting>
  <conditionalFormatting sqref="D39">
    <cfRule type="duplicateValues" dxfId="1" priority="2"/>
  </conditionalFormatting>
  <conditionalFormatting sqref="N74">
    <cfRule type="duplicateValues" dxfId="0" priority="1"/>
  </conditionalFormatting>
  <dataValidations count="4">
    <dataValidation type="list" allowBlank="1" showInputMessage="1" showErrorMessage="1" sqref="E69:E76 O69:O74 E28:E43 O28:O43 E46:E58 O46:O58 E19:E24 E11:E17 O11:O22 C5:C6" xr:uid="{00000000-0002-0000-0000-000000000000}">
      <formula1>Semester</formula1>
    </dataValidation>
    <dataValidation type="textLength" allowBlank="1" showInputMessage="1" showErrorMessage="1" sqref="P7:R7" xr:uid="{20DA6761-6F21-4357-B33C-525CCCF566C1}">
      <formula1>9</formula1>
      <formula2>9</formula2>
    </dataValidation>
    <dataValidation type="list" allowBlank="1" showInputMessage="1" showErrorMessage="1" sqref="C76:D76" xr:uid="{00000000-0002-0000-0000-000005000000}">
      <formula1>MEGR_3221_or_MEGR_3216</formula1>
    </dataValidation>
    <dataValidation type="list" errorStyle="warning" showInputMessage="1" showErrorMessage="1" errorTitle="Duplicate LBST" error="Please enter a different LBST" promptTitle="LBST" prompt="Please make a selection." sqref="N22 D24 D39 N74" xr:uid="{5FA9CDBD-9A18-4BA5-A2FB-7C5FAA8AC2C4}">
      <formula1>$AF$2:$AF$5</formula1>
    </dataValidation>
  </dataValidations>
  <printOptions horizontalCentered="1"/>
  <pageMargins left="0.1" right="0.1" top="0.56000000000000005" bottom="0.19" header="0.22" footer="0.19"/>
  <pageSetup scale="47" orientation="portrait" horizontalDpi="4294967295" verticalDpi="4294967295" r:id="rId1"/>
  <headerFooter alignWithMargins="0">
    <oddHeader>&amp;C&amp;"Batang,Bold Italic"&amp;14ACADEMIC PLAN</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Please make a selection." xr:uid="{00000000-0002-0000-0000-000006000000}">
          <x14:formula1>
            <xm:f>Sheet2!$E$1:$E$3</xm:f>
          </x14:formula1>
          <xm:sqref>N20</xm:sqref>
        </x14:dataValidation>
        <x14:dataValidation type="list" allowBlank="1" showInputMessage="1" showErrorMessage="1" xr:uid="{00000000-0002-0000-0000-000007000000}">
          <x14:formula1>
            <xm:f>Sheet2!$B$1:$B$24</xm:f>
          </x14:formula1>
          <xm:sqref>P28:P43 F28:F43 F62 F46:F58 F69:F76 P46:P58 F19:F24 F11:F17 P11:P22 P62 P69:P76 D5:D6</xm:sqref>
        </x14:dataValidation>
        <x14:dataValidation type="list" allowBlank="1" showInputMessage="1" showErrorMessage="1" xr:uid="{00000000-0002-0000-0000-000009000000}">
          <x14:formula1>
            <xm:f>Sheet2!$I$1:$I$2</xm:f>
          </x14:formula1>
          <xm:sqref>E62 O75:O76 O62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workbookViewId="0">
      <selection activeCell="G35" sqref="G35"/>
    </sheetView>
  </sheetViews>
  <sheetFormatPr defaultColWidth="9.140625" defaultRowHeight="12.75" x14ac:dyDescent="0.2"/>
  <cols>
    <col min="1" max="16384" width="9.140625" style="29"/>
  </cols>
  <sheetData>
    <row r="1" spans="1:11" x14ac:dyDescent="0.2">
      <c r="A1" s="28" t="s">
        <v>78</v>
      </c>
      <c r="B1" s="29">
        <v>2007</v>
      </c>
      <c r="C1" s="28">
        <v>4</v>
      </c>
      <c r="D1" s="28">
        <v>1101</v>
      </c>
      <c r="E1" s="28">
        <v>1101</v>
      </c>
      <c r="F1" s="29">
        <v>2301</v>
      </c>
      <c r="G1" s="30" t="s">
        <v>143</v>
      </c>
      <c r="H1" s="28">
        <v>4</v>
      </c>
      <c r="I1" s="29" t="s">
        <v>78</v>
      </c>
      <c r="J1" s="28" t="s">
        <v>152</v>
      </c>
      <c r="K1" s="29">
        <v>2101</v>
      </c>
    </row>
    <row r="2" spans="1:11" x14ac:dyDescent="0.2">
      <c r="A2" s="28" t="s">
        <v>79</v>
      </c>
      <c r="B2" s="29">
        <v>2008</v>
      </c>
      <c r="C2" s="28">
        <v>3</v>
      </c>
      <c r="D2" s="28">
        <v>1103</v>
      </c>
      <c r="E2" s="28">
        <v>1103</v>
      </c>
      <c r="F2" s="29">
        <v>2102</v>
      </c>
      <c r="G2" s="29">
        <v>2101</v>
      </c>
      <c r="H2" s="28">
        <v>3</v>
      </c>
      <c r="I2" s="29" t="s">
        <v>79</v>
      </c>
      <c r="J2" s="28" t="s">
        <v>151</v>
      </c>
      <c r="K2" s="29">
        <v>2102</v>
      </c>
    </row>
    <row r="3" spans="1:11" x14ac:dyDescent="0.2">
      <c r="A3" s="28" t="s">
        <v>81</v>
      </c>
      <c r="B3" s="29">
        <v>2009</v>
      </c>
      <c r="C3" s="28">
        <v>2</v>
      </c>
      <c r="D3" s="28">
        <v>1104</v>
      </c>
      <c r="E3" s="28">
        <v>1104</v>
      </c>
      <c r="F3" s="30"/>
      <c r="G3" s="29">
        <v>2102</v>
      </c>
      <c r="H3" s="28">
        <v>2</v>
      </c>
      <c r="K3" s="30" t="s">
        <v>44</v>
      </c>
    </row>
    <row r="4" spans="1:11" x14ac:dyDescent="0.2">
      <c r="A4" s="28" t="s">
        <v>82</v>
      </c>
      <c r="B4" s="29">
        <v>2010</v>
      </c>
      <c r="C4" s="28">
        <v>1</v>
      </c>
      <c r="D4" s="28"/>
      <c r="F4" s="30"/>
      <c r="G4" s="30" t="s">
        <v>44</v>
      </c>
      <c r="H4" s="28">
        <v>1</v>
      </c>
    </row>
    <row r="5" spans="1:11" x14ac:dyDescent="0.2">
      <c r="A5" s="28"/>
      <c r="B5" s="29">
        <v>2011</v>
      </c>
      <c r="C5" s="28">
        <v>0</v>
      </c>
      <c r="D5" s="28"/>
      <c r="H5" s="30" t="s">
        <v>158</v>
      </c>
    </row>
    <row r="6" spans="1:11" x14ac:dyDescent="0.2">
      <c r="A6" s="28"/>
      <c r="B6" s="29">
        <v>2012</v>
      </c>
      <c r="C6" s="30" t="s">
        <v>158</v>
      </c>
      <c r="H6" s="30" t="s">
        <v>159</v>
      </c>
    </row>
    <row r="7" spans="1:11" x14ac:dyDescent="0.2">
      <c r="A7" s="28"/>
      <c r="B7" s="29">
        <v>2013</v>
      </c>
      <c r="C7" s="30" t="s">
        <v>159</v>
      </c>
      <c r="H7" s="30" t="s">
        <v>160</v>
      </c>
    </row>
    <row r="8" spans="1:11" x14ac:dyDescent="0.2">
      <c r="A8" s="28"/>
      <c r="B8" s="29">
        <v>2014</v>
      </c>
      <c r="C8" s="30" t="s">
        <v>160</v>
      </c>
    </row>
    <row r="9" spans="1:11" x14ac:dyDescent="0.2">
      <c r="A9" s="28"/>
      <c r="B9" s="29">
        <v>2015</v>
      </c>
    </row>
    <row r="10" spans="1:11" x14ac:dyDescent="0.2">
      <c r="A10" s="28"/>
      <c r="B10" s="29">
        <v>2016</v>
      </c>
    </row>
    <row r="11" spans="1:11" x14ac:dyDescent="0.2">
      <c r="A11" s="28"/>
      <c r="B11" s="29">
        <v>2017</v>
      </c>
    </row>
    <row r="12" spans="1:11" x14ac:dyDescent="0.2">
      <c r="A12" s="28"/>
      <c r="B12" s="29">
        <v>2018</v>
      </c>
    </row>
    <row r="13" spans="1:11" x14ac:dyDescent="0.2">
      <c r="A13" s="28"/>
      <c r="B13" s="29">
        <v>2019</v>
      </c>
    </row>
    <row r="14" spans="1:11" x14ac:dyDescent="0.2">
      <c r="A14" s="28"/>
      <c r="B14" s="29">
        <v>2020</v>
      </c>
    </row>
    <row r="15" spans="1:11" x14ac:dyDescent="0.2">
      <c r="A15" s="28"/>
      <c r="B15" s="29">
        <v>2021</v>
      </c>
    </row>
    <row r="16" spans="1:11" x14ac:dyDescent="0.2">
      <c r="A16" s="28"/>
      <c r="B16" s="29">
        <v>2022</v>
      </c>
    </row>
    <row r="17" spans="1:2" x14ac:dyDescent="0.2">
      <c r="A17" s="28"/>
      <c r="B17" s="29">
        <v>2023</v>
      </c>
    </row>
    <row r="18" spans="1:2" x14ac:dyDescent="0.2">
      <c r="B18" s="29">
        <v>2024</v>
      </c>
    </row>
    <row r="19" spans="1:2" x14ac:dyDescent="0.2">
      <c r="B19" s="29">
        <v>2025</v>
      </c>
    </row>
    <row r="20" spans="1:2" x14ac:dyDescent="0.2">
      <c r="B20" s="29">
        <v>2026</v>
      </c>
    </row>
    <row r="21" spans="1:2" x14ac:dyDescent="0.2">
      <c r="B21" s="29">
        <v>2027</v>
      </c>
    </row>
    <row r="22" spans="1:2" x14ac:dyDescent="0.2">
      <c r="B22" s="29">
        <v>2028</v>
      </c>
    </row>
    <row r="23" spans="1:2" x14ac:dyDescent="0.2">
      <c r="B23" s="29">
        <v>2029</v>
      </c>
    </row>
    <row r="24" spans="1:2" x14ac:dyDescent="0.2">
      <c r="B24" s="29">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Academic Plan_TEMPLATE</vt:lpstr>
      <vt:lpstr>Sheet2</vt:lpstr>
      <vt:lpstr>DesignElective</vt:lpstr>
      <vt:lpstr>ENGLCOMPA</vt:lpstr>
      <vt:lpstr>ENGLCOMPB</vt:lpstr>
      <vt:lpstr>Grade</vt:lpstr>
      <vt:lpstr>Grades</vt:lpstr>
      <vt:lpstr>LBST</vt:lpstr>
      <vt:lpstr>MEGR_3221_or_MEGR_3216</vt:lpstr>
      <vt:lpstr>NumGrade</vt:lpstr>
      <vt:lpstr>'Academic Plan_TEMPLATE'!Print_Area</vt:lpstr>
      <vt:lpstr>Semester</vt:lpstr>
      <vt:lpstr>Year</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mrhetman</dc:creator>
  <cp:lastModifiedBy>Gina Robinson</cp:lastModifiedBy>
  <cp:lastPrinted>2021-11-05T17:10:56Z</cp:lastPrinted>
  <dcterms:created xsi:type="dcterms:W3CDTF">2005-11-09T17:04:25Z</dcterms:created>
  <dcterms:modified xsi:type="dcterms:W3CDTF">2024-10-09T15:56:52Z</dcterms:modified>
</cp:coreProperties>
</file>